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3835" windowHeight="14820" tabRatio="706" activeTab="0"/>
  </bookViews>
  <sheets>
    <sheet name="Handleiding &amp; Vragen" sheetId="1" r:id="rId1"/>
    <sheet name="Oppervlaktes &amp; Volumes" sheetId="2" r:id="rId2"/>
    <sheet name="Compactheid" sheetId="3" r:id="rId3"/>
    <sheet name="Temperaturen" sheetId="4" r:id="rId4"/>
    <sheet name="Materialen" sheetId="5" r:id="rId5"/>
    <sheet name="Isolatieniveau" sheetId="6" r:id="rId6"/>
    <sheet name="Warmteverliezen - Transmissie" sheetId="7" r:id="rId7"/>
    <sheet name="Warmteverliezen - Totaal" sheetId="8" r:id="rId8"/>
    <sheet name="Warmteverliezen - Grafiek" sheetId="9" r:id="rId9"/>
    <sheet name="Dimensionering CV" sheetId="10" r:id="rId10"/>
  </sheets>
  <definedNames>
    <definedName name="_xlnm._FilterDatabase" localSheetId="6" hidden="1">'Warmteverliezen - Transmissie'!$A$6:$S$6</definedName>
    <definedName name="_xlnm.Print_Titles" localSheetId="6">'Warmteverliezen - Transmissie'!$1:$6</definedName>
  </definedNames>
  <calcPr fullCalcOnLoad="1"/>
</workbook>
</file>

<file path=xl/comments5.xml><?xml version="1.0" encoding="utf-8"?>
<comments xmlns="http://schemas.openxmlformats.org/spreadsheetml/2006/main">
  <authors>
    <author>Steven Van Lier</author>
  </authors>
  <commentList>
    <comment ref="I12" authorId="0">
      <text>
        <r>
          <rPr>
            <sz val="8"/>
            <rFont val="Tahoma"/>
            <family val="2"/>
          </rPr>
          <t>2 x Rsi omdat de vloer aan 2 binnenruimtes raakt.</t>
        </r>
      </text>
    </comment>
    <comment ref="I13" authorId="0">
      <text>
        <r>
          <rPr>
            <sz val="8"/>
            <rFont val="Tahoma"/>
            <family val="2"/>
          </rPr>
          <t>2 x Rsi omdat de vloer aan 2 binnenruimtes raakt.</t>
        </r>
      </text>
    </comment>
    <comment ref="I18" authorId="0">
      <text>
        <r>
          <rPr>
            <sz val="8"/>
            <rFont val="Tahoma"/>
            <family val="2"/>
          </rPr>
          <t>2 x Rsi omdat de binnenmuur binnenruimtes raakt.</t>
        </r>
      </text>
    </comment>
    <comment ref="I19" authorId="0">
      <text>
        <r>
          <rPr>
            <sz val="8"/>
            <rFont val="Tahoma"/>
            <family val="2"/>
          </rPr>
          <t>2 x Rsi omdat de binnenmuur binnenruimtes raakt.</t>
        </r>
      </text>
    </comment>
    <comment ref="I20" authorId="0">
      <text>
        <r>
          <rPr>
            <sz val="8"/>
            <rFont val="Tahoma"/>
            <family val="2"/>
          </rPr>
          <t>2 x Rsi omdat de binnenmuur binnenruimtes raakt.</t>
        </r>
      </text>
    </comment>
    <comment ref="I23" authorId="0">
      <text>
        <r>
          <rPr>
            <sz val="8"/>
            <rFont val="Tahoma"/>
            <family val="2"/>
          </rPr>
          <t>2 x Rsi omdat de binnendeur binnenruimtes raakt.</t>
        </r>
      </text>
    </comment>
    <comment ref="I21" authorId="0">
      <text>
        <r>
          <rPr>
            <sz val="8"/>
            <rFont val="Tahoma"/>
            <family val="2"/>
          </rPr>
          <t>De Rsi van de raam wordt berekend in de k-waarde.</t>
        </r>
      </text>
    </comment>
    <comment ref="G21" authorId="0">
      <text>
        <r>
          <rPr>
            <sz val="8"/>
            <rFont val="Tahoma"/>
            <family val="2"/>
          </rPr>
          <t>De Rse van het raam wordt berekend in de k-waarde.</t>
        </r>
      </text>
    </comment>
    <comment ref="O5" authorId="0">
      <text>
        <r>
          <rPr>
            <sz val="8"/>
            <rFont val="Tahoma"/>
            <family val="2"/>
          </rPr>
          <t>Gemiddelde waarde = 0,3 W/mK en de totale k-waarde vd muur komt overeen met rekentabel Terca.</t>
        </r>
      </text>
    </comment>
    <comment ref="K4" authorId="0">
      <text>
        <r>
          <rPr>
            <sz val="8"/>
            <rFont val="Tahoma"/>
            <family val="2"/>
          </rPr>
          <t>Enkel de EPS isolatie wordt in rekening gebracht en geen crepi.</t>
        </r>
      </text>
    </comment>
    <comment ref="J5" authorId="0">
      <text>
        <r>
          <rPr>
            <sz val="8"/>
            <rFont val="Tahoma"/>
            <family val="2"/>
          </rPr>
          <t>Deze waarde is bekomen uit de rekentabel van Terca.</t>
        </r>
      </text>
    </comment>
    <comment ref="P5" authorId="0">
      <text>
        <r>
          <rPr>
            <sz val="8"/>
            <rFont val="Tahoma"/>
            <family val="2"/>
          </rPr>
          <t>Gemiddelde waarde = 0,3 W/mK en de totale k-waarde vd muur komt overeen met rekentabel Terca.</t>
        </r>
      </text>
    </comment>
    <comment ref="T5" authorId="0">
      <text>
        <r>
          <rPr>
            <sz val="8"/>
            <rFont val="Tahoma"/>
            <family val="2"/>
          </rPr>
          <t>Geen waarde gevonden voor chape daarom nadelig uitrekenen zoals beton.</t>
        </r>
      </text>
    </comment>
    <comment ref="U5" authorId="0">
      <text>
        <r>
          <rPr>
            <sz val="8"/>
            <rFont val="Tahoma"/>
            <family val="2"/>
          </rPr>
          <t>Geen waarde gevonden voor chape daarom nadelig uitrekenen zoals beton.</t>
        </r>
      </text>
    </comment>
    <comment ref="V5" authorId="0">
      <text>
        <r>
          <rPr>
            <sz val="8"/>
            <rFont val="Tahoma"/>
            <family val="2"/>
          </rPr>
          <t>Input van bouwinfo forumlezers.</t>
        </r>
      </text>
    </comment>
    <comment ref="W5" authorId="0">
      <text>
        <r>
          <rPr>
            <sz val="8"/>
            <rFont val="Tahoma"/>
            <family val="2"/>
          </rPr>
          <t>Input van bouwinfo forumlezers.</t>
        </r>
      </text>
    </comment>
  </commentList>
</comments>
</file>

<file path=xl/comments6.xml><?xml version="1.0" encoding="utf-8"?>
<comments xmlns="http://schemas.openxmlformats.org/spreadsheetml/2006/main">
  <authors>
    <author>Steven Van Lier</author>
  </authors>
  <commentList>
    <comment ref="D20" authorId="0">
      <text>
        <r>
          <rPr>
            <b/>
            <sz val="8"/>
            <rFont val="Tahoma"/>
            <family val="0"/>
          </rPr>
          <t>Steven Van Lier:</t>
        </r>
        <r>
          <rPr>
            <sz val="8"/>
            <rFont val="Tahoma"/>
            <family val="0"/>
          </rPr>
          <t xml:space="preserve">
zit reeds vervat in de k-waarde bij materialen.</t>
        </r>
      </text>
    </comment>
    <comment ref="D21" authorId="0">
      <text>
        <r>
          <rPr>
            <b/>
            <sz val="8"/>
            <rFont val="Tahoma"/>
            <family val="0"/>
          </rPr>
          <t>Steven Van Lier:</t>
        </r>
        <r>
          <rPr>
            <sz val="8"/>
            <rFont val="Tahoma"/>
            <family val="0"/>
          </rPr>
          <t xml:space="preserve">
Zit reeds vervat in de k-waarde bij materialen.</t>
        </r>
      </text>
    </comment>
  </commentList>
</comments>
</file>

<file path=xl/comments7.xml><?xml version="1.0" encoding="utf-8"?>
<comments xmlns="http://schemas.openxmlformats.org/spreadsheetml/2006/main">
  <authors>
    <author>Steven Van Lier</author>
  </authors>
  <commentList>
    <comment ref="C14" authorId="0">
      <text>
        <r>
          <rPr>
            <b/>
            <sz val="8"/>
            <rFont val="Tahoma"/>
            <family val="0"/>
          </rPr>
          <t>Steven Van Lier:</t>
        </r>
        <r>
          <rPr>
            <sz val="8"/>
            <rFont val="Tahoma"/>
            <family val="0"/>
          </rPr>
          <t xml:space="preserve">
Aftrek binnendeur leefruimte-berging</t>
        </r>
      </text>
    </comment>
    <comment ref="C20" authorId="0">
      <text>
        <r>
          <rPr>
            <b/>
            <sz val="8"/>
            <rFont val="Tahoma"/>
            <family val="0"/>
          </rPr>
          <t>Steven Van Lier:</t>
        </r>
        <r>
          <rPr>
            <sz val="8"/>
            <rFont val="Tahoma"/>
            <family val="0"/>
          </rPr>
          <t xml:space="preserve">
Aftrek raam</t>
        </r>
      </text>
    </comment>
    <comment ref="C17" authorId="0">
      <text>
        <r>
          <rPr>
            <b/>
            <sz val="8"/>
            <rFont val="Tahoma"/>
            <family val="0"/>
          </rPr>
          <t>Steven Van Lier:</t>
        </r>
        <r>
          <rPr>
            <sz val="8"/>
            <rFont val="Tahoma"/>
            <family val="0"/>
          </rPr>
          <t xml:space="preserve">
Glazen wand tussen leefruimte en inkom</t>
        </r>
      </text>
    </comment>
    <comment ref="C30" authorId="0">
      <text>
        <r>
          <rPr>
            <b/>
            <sz val="8"/>
            <rFont val="Tahoma"/>
            <family val="0"/>
          </rPr>
          <t>Steven Van Lier:</t>
        </r>
        <r>
          <rPr>
            <sz val="8"/>
            <rFont val="Tahoma"/>
            <family val="0"/>
          </rPr>
          <t xml:space="preserve">
Aftrek raam</t>
        </r>
      </text>
    </comment>
    <comment ref="C33" authorId="0">
      <text>
        <r>
          <rPr>
            <b/>
            <sz val="8"/>
            <rFont val="Tahoma"/>
            <family val="0"/>
          </rPr>
          <t>Steven Van Lier:</t>
        </r>
        <r>
          <rPr>
            <sz val="8"/>
            <rFont val="Tahoma"/>
            <family val="0"/>
          </rPr>
          <t xml:space="preserve">
Aftrek binnendeur leefruimte-berging</t>
        </r>
      </text>
    </comment>
    <comment ref="C36" authorId="0">
      <text>
        <r>
          <rPr>
            <b/>
            <sz val="8"/>
            <rFont val="Tahoma"/>
            <family val="0"/>
          </rPr>
          <t>Steven Van Lier:</t>
        </r>
        <r>
          <rPr>
            <sz val="8"/>
            <rFont val="Tahoma"/>
            <family val="0"/>
          </rPr>
          <t xml:space="preserve">
Aftrek binnendeur</t>
        </r>
      </text>
    </comment>
    <comment ref="C45" authorId="0">
      <text>
        <r>
          <rPr>
            <b/>
            <sz val="8"/>
            <rFont val="Tahoma"/>
            <family val="0"/>
          </rPr>
          <t>Steven Van Lier:</t>
        </r>
        <r>
          <rPr>
            <sz val="8"/>
            <rFont val="Tahoma"/>
            <family val="0"/>
          </rPr>
          <t xml:space="preserve">
Aftrek deur</t>
        </r>
      </text>
    </comment>
    <comment ref="C52" authorId="0">
      <text>
        <r>
          <rPr>
            <b/>
            <sz val="8"/>
            <rFont val="Tahoma"/>
            <family val="0"/>
          </rPr>
          <t>Steven Van Lier:</t>
        </r>
        <r>
          <rPr>
            <sz val="8"/>
            <rFont val="Tahoma"/>
            <family val="0"/>
          </rPr>
          <t xml:space="preserve">
Aftrek deur</t>
        </r>
      </text>
    </comment>
    <comment ref="C55" authorId="0">
      <text>
        <r>
          <rPr>
            <b/>
            <sz val="8"/>
            <rFont val="Tahoma"/>
            <family val="0"/>
          </rPr>
          <t>Steven Van Lier:</t>
        </r>
        <r>
          <rPr>
            <sz val="8"/>
            <rFont val="Tahoma"/>
            <family val="0"/>
          </rPr>
          <t xml:space="preserve">
Aftrek binnendeur</t>
        </r>
      </text>
    </comment>
    <comment ref="C66" authorId="0">
      <text>
        <r>
          <rPr>
            <b/>
            <sz val="8"/>
            <rFont val="Tahoma"/>
            <family val="0"/>
          </rPr>
          <t>Steven Van Lier:</t>
        </r>
        <r>
          <rPr>
            <sz val="8"/>
            <rFont val="Tahoma"/>
            <family val="0"/>
          </rPr>
          <t xml:space="preserve">
Glazen wand tussen leefruimte en inkom</t>
        </r>
      </text>
    </comment>
    <comment ref="C79" authorId="0">
      <text>
        <r>
          <rPr>
            <b/>
            <sz val="8"/>
            <rFont val="Tahoma"/>
            <family val="0"/>
          </rPr>
          <t>Steven Van Lier:</t>
        </r>
        <r>
          <rPr>
            <sz val="8"/>
            <rFont val="Tahoma"/>
            <family val="0"/>
          </rPr>
          <t xml:space="preserve">
Aftrek binnendeur</t>
        </r>
      </text>
    </comment>
    <comment ref="C83" authorId="0">
      <text>
        <r>
          <rPr>
            <b/>
            <sz val="8"/>
            <rFont val="Tahoma"/>
            <family val="0"/>
          </rPr>
          <t>Steven Van Lier:</t>
        </r>
        <r>
          <rPr>
            <sz val="8"/>
            <rFont val="Tahoma"/>
            <family val="0"/>
          </rPr>
          <t xml:space="preserve">
Aftrek ramen</t>
        </r>
      </text>
    </comment>
    <comment ref="C68" authorId="0">
      <text>
        <r>
          <rPr>
            <b/>
            <sz val="8"/>
            <rFont val="Tahoma"/>
            <family val="0"/>
          </rPr>
          <t>Steven Van Lier:</t>
        </r>
        <r>
          <rPr>
            <sz val="8"/>
            <rFont val="Tahoma"/>
            <family val="0"/>
          </rPr>
          <t xml:space="preserve">
Aftrek binnendeur</t>
        </r>
      </text>
    </comment>
    <comment ref="C87" authorId="0">
      <text>
        <r>
          <rPr>
            <b/>
            <sz val="8"/>
            <rFont val="Tahoma"/>
            <family val="0"/>
          </rPr>
          <t>Steven Van Lier:</t>
        </r>
        <r>
          <rPr>
            <sz val="8"/>
            <rFont val="Tahoma"/>
            <family val="0"/>
          </rPr>
          <t xml:space="preserve">
Oversteek van 75cm</t>
        </r>
      </text>
    </comment>
    <comment ref="C90" authorId="0">
      <text>
        <r>
          <rPr>
            <b/>
            <sz val="8"/>
            <rFont val="Tahoma"/>
            <family val="0"/>
          </rPr>
          <t>Steven Van Lier:</t>
        </r>
        <r>
          <rPr>
            <sz val="8"/>
            <rFont val="Tahoma"/>
            <family val="0"/>
          </rPr>
          <t xml:space="preserve">
Aftrek binnendeur</t>
        </r>
      </text>
    </comment>
    <comment ref="C94" authorId="0">
      <text>
        <r>
          <rPr>
            <b/>
            <sz val="8"/>
            <rFont val="Tahoma"/>
            <family val="0"/>
          </rPr>
          <t>Steven Van Lier:</t>
        </r>
        <r>
          <rPr>
            <sz val="8"/>
            <rFont val="Tahoma"/>
            <family val="0"/>
          </rPr>
          <t xml:space="preserve">
Aftrek raam</t>
        </r>
      </text>
    </comment>
    <comment ref="C102" authorId="0">
      <text>
        <r>
          <rPr>
            <b/>
            <sz val="8"/>
            <rFont val="Tahoma"/>
            <family val="0"/>
          </rPr>
          <t>Steven Van Lier:</t>
        </r>
        <r>
          <rPr>
            <sz val="8"/>
            <rFont val="Tahoma"/>
            <family val="0"/>
          </rPr>
          <t xml:space="preserve">
Oversteek van 75cm</t>
        </r>
      </text>
    </comment>
    <comment ref="C105" authorId="0">
      <text>
        <r>
          <rPr>
            <b/>
            <sz val="8"/>
            <rFont val="Tahoma"/>
            <family val="0"/>
          </rPr>
          <t>Steven Van Lier:</t>
        </r>
        <r>
          <rPr>
            <sz val="8"/>
            <rFont val="Tahoma"/>
            <family val="0"/>
          </rPr>
          <t xml:space="preserve">
Aftrek binnendeur</t>
        </r>
      </text>
    </comment>
    <comment ref="C113" authorId="0">
      <text>
        <r>
          <rPr>
            <b/>
            <sz val="8"/>
            <rFont val="Tahoma"/>
            <family val="0"/>
          </rPr>
          <t>Steven Van Lier:</t>
        </r>
        <r>
          <rPr>
            <sz val="8"/>
            <rFont val="Tahoma"/>
            <family val="0"/>
          </rPr>
          <t xml:space="preserve">
Aftrek raam</t>
        </r>
      </text>
    </comment>
    <comment ref="C120" authorId="0">
      <text>
        <r>
          <rPr>
            <b/>
            <sz val="8"/>
            <rFont val="Tahoma"/>
            <family val="0"/>
          </rPr>
          <t>Steven Van Lier:</t>
        </r>
        <r>
          <rPr>
            <sz val="8"/>
            <rFont val="Tahoma"/>
            <family val="0"/>
          </rPr>
          <t xml:space="preserve">
Aftrek raam</t>
        </r>
      </text>
    </comment>
    <comment ref="C124" authorId="0">
      <text>
        <r>
          <rPr>
            <b/>
            <sz val="8"/>
            <rFont val="Tahoma"/>
            <family val="0"/>
          </rPr>
          <t>Steven Van Lier:</t>
        </r>
        <r>
          <rPr>
            <sz val="8"/>
            <rFont val="Tahoma"/>
            <family val="0"/>
          </rPr>
          <t xml:space="preserve">
Aftrek binnendeur</t>
        </r>
      </text>
    </comment>
    <comment ref="C127" authorId="0">
      <text>
        <r>
          <rPr>
            <b/>
            <sz val="8"/>
            <rFont val="Tahoma"/>
            <family val="0"/>
          </rPr>
          <t>Steven Van Lier:</t>
        </r>
        <r>
          <rPr>
            <sz val="8"/>
            <rFont val="Tahoma"/>
            <family val="0"/>
          </rPr>
          <t xml:space="preserve">
Aftrek binnendeur</t>
        </r>
      </text>
    </comment>
    <comment ref="C138" authorId="0">
      <text>
        <r>
          <rPr>
            <b/>
            <sz val="8"/>
            <rFont val="Tahoma"/>
            <family val="0"/>
          </rPr>
          <t>Steven Van Lier:</t>
        </r>
        <r>
          <rPr>
            <sz val="8"/>
            <rFont val="Tahoma"/>
            <family val="0"/>
          </rPr>
          <t xml:space="preserve">
Aftrek raam</t>
        </r>
      </text>
    </comment>
    <comment ref="C141" authorId="0">
      <text>
        <r>
          <rPr>
            <b/>
            <sz val="8"/>
            <rFont val="Tahoma"/>
            <family val="0"/>
          </rPr>
          <t>Steven Van Lier:</t>
        </r>
        <r>
          <rPr>
            <sz val="8"/>
            <rFont val="Tahoma"/>
            <family val="0"/>
          </rPr>
          <t xml:space="preserve">
Aftrek binnendeur</t>
        </r>
      </text>
    </comment>
    <comment ref="C149" authorId="0">
      <text>
        <r>
          <rPr>
            <b/>
            <sz val="8"/>
            <rFont val="Tahoma"/>
            <family val="0"/>
          </rPr>
          <t>Steven Van Lier:</t>
        </r>
        <r>
          <rPr>
            <sz val="8"/>
            <rFont val="Tahoma"/>
            <family val="0"/>
          </rPr>
          <t xml:space="preserve">
Aftrek binnendeur</t>
        </r>
      </text>
    </comment>
    <comment ref="C153" authorId="0">
      <text>
        <r>
          <rPr>
            <b/>
            <sz val="8"/>
            <rFont val="Tahoma"/>
            <family val="0"/>
          </rPr>
          <t>Steven Van Lier:</t>
        </r>
        <r>
          <rPr>
            <sz val="8"/>
            <rFont val="Tahoma"/>
            <family val="0"/>
          </rPr>
          <t xml:space="preserve">
Aftrek binnendeur</t>
        </r>
      </text>
    </comment>
    <comment ref="C156" authorId="0">
      <text>
        <r>
          <rPr>
            <b/>
            <sz val="8"/>
            <rFont val="Tahoma"/>
            <family val="0"/>
          </rPr>
          <t>Steven Van Lier:</t>
        </r>
        <r>
          <rPr>
            <sz val="8"/>
            <rFont val="Tahoma"/>
            <family val="0"/>
          </rPr>
          <t xml:space="preserve">
Aftrek raam</t>
        </r>
      </text>
    </comment>
    <comment ref="C176" authorId="0">
      <text>
        <r>
          <rPr>
            <b/>
            <sz val="8"/>
            <rFont val="Tahoma"/>
            <family val="0"/>
          </rPr>
          <t>Steven Van Lier:</t>
        </r>
        <r>
          <rPr>
            <sz val="8"/>
            <rFont val="Tahoma"/>
            <family val="0"/>
          </rPr>
          <t xml:space="preserve">
Aftrek binnendeur</t>
        </r>
      </text>
    </comment>
    <comment ref="C180" authorId="0">
      <text>
        <r>
          <rPr>
            <b/>
            <sz val="8"/>
            <rFont val="Tahoma"/>
            <family val="0"/>
          </rPr>
          <t>Steven Van Lier:</t>
        </r>
        <r>
          <rPr>
            <sz val="8"/>
            <rFont val="Tahoma"/>
            <family val="0"/>
          </rPr>
          <t xml:space="preserve">
Aftrek binnendeur</t>
        </r>
      </text>
    </comment>
    <comment ref="C185" authorId="0">
      <text>
        <r>
          <rPr>
            <b/>
            <sz val="8"/>
            <rFont val="Tahoma"/>
            <family val="0"/>
          </rPr>
          <t>Steven Van Lier:</t>
        </r>
        <r>
          <rPr>
            <sz val="8"/>
            <rFont val="Tahoma"/>
            <family val="0"/>
          </rPr>
          <t xml:space="preserve">
Aftrek binnendeur</t>
        </r>
      </text>
    </comment>
    <comment ref="C189" authorId="0">
      <text>
        <r>
          <rPr>
            <b/>
            <sz val="8"/>
            <rFont val="Tahoma"/>
            <family val="0"/>
          </rPr>
          <t>Steven Van Lier:</t>
        </r>
        <r>
          <rPr>
            <sz val="8"/>
            <rFont val="Tahoma"/>
            <family val="0"/>
          </rPr>
          <t xml:space="preserve">
Aftrek binnendeur</t>
        </r>
      </text>
    </comment>
  </commentList>
</comments>
</file>

<file path=xl/sharedStrings.xml><?xml version="1.0" encoding="utf-8"?>
<sst xmlns="http://schemas.openxmlformats.org/spreadsheetml/2006/main" count="936" uniqueCount="289">
  <si>
    <t>Berging</t>
  </si>
  <si>
    <t>Vestaire</t>
  </si>
  <si>
    <t>WC 1</t>
  </si>
  <si>
    <t>Inkom</t>
  </si>
  <si>
    <t>Garage</t>
  </si>
  <si>
    <t>Slaapkamer 1</t>
  </si>
  <si>
    <t>Badkamer</t>
  </si>
  <si>
    <t>WC 2</t>
  </si>
  <si>
    <t>Polyvalente Ruimte</t>
  </si>
  <si>
    <t>Slaapkamer 2</t>
  </si>
  <si>
    <t>Douchecel</t>
  </si>
  <si>
    <t>Slaapkamer 3</t>
  </si>
  <si>
    <t>Zolder</t>
  </si>
  <si>
    <t>Lengte     (m)</t>
  </si>
  <si>
    <t>Breedte     (m)</t>
  </si>
  <si>
    <t>Hoogte     (m)</t>
  </si>
  <si>
    <t>Temperaturen</t>
  </si>
  <si>
    <t>Grond</t>
  </si>
  <si>
    <t>Buiten</t>
  </si>
  <si>
    <t>Temperatuur (°C)</t>
  </si>
  <si>
    <t>Deel bouwschil</t>
  </si>
  <si>
    <t>Totale buitenoppervlakte van de woning, som van alle zijden.</t>
  </si>
  <si>
    <t>Volume dat geïsoleerd is van de buitenwereld.</t>
  </si>
  <si>
    <t>Voorgevel</t>
  </si>
  <si>
    <t>Compactheid v/d woning =</t>
  </si>
  <si>
    <t>"Beschermd Volume" gedeelt door "Totale Oppervlakte Bouwschil"</t>
  </si>
  <si>
    <t>Commentaar</t>
  </si>
  <si>
    <t>Garage zijwand 1</t>
  </si>
  <si>
    <t>Garage zijwand 2</t>
  </si>
  <si>
    <t>Garage plat dak</t>
  </si>
  <si>
    <t>Linker zijgevel</t>
  </si>
  <si>
    <t>Achtergevel</t>
  </si>
  <si>
    <t>Rechter zijgevel</t>
  </si>
  <si>
    <t>Zadeldak 1</t>
  </si>
  <si>
    <t>Zadeldak 2</t>
  </si>
  <si>
    <t>Puntgevel 1</t>
  </si>
  <si>
    <t>Puntgevel 2</t>
  </si>
  <si>
    <t>Opp. gedeelt door 2 want driehoek</t>
  </si>
  <si>
    <t>m²</t>
  </si>
  <si>
    <t>Keuken + Living</t>
  </si>
  <si>
    <t>Volume     (m³)</t>
  </si>
  <si>
    <t>Dak</t>
  </si>
  <si>
    <t>Oppervlakte     (m²)</t>
  </si>
  <si>
    <t>N/A</t>
  </si>
  <si>
    <t>m³</t>
  </si>
  <si>
    <t>Compactheid van de woning</t>
  </si>
  <si>
    <t>Volume gedeelt door 2 want driehoek</t>
  </si>
  <si>
    <t>Gelijkvloers</t>
  </si>
  <si>
    <t>Verdieping</t>
  </si>
  <si>
    <t>Deel Volume                (m³)</t>
  </si>
  <si>
    <t>Totaal Volume     (m³)</t>
  </si>
  <si>
    <t>Totaal Vloeroppervlakte (m²)</t>
  </si>
  <si>
    <t>Deel Vloeroppervlakte (m²)</t>
  </si>
  <si>
    <t>Oppervlaktes &amp; Volumes</t>
  </si>
  <si>
    <t>Ruimte</t>
  </si>
  <si>
    <t>m</t>
  </si>
  <si>
    <t>Lambda</t>
  </si>
  <si>
    <t>W/mK</t>
  </si>
  <si>
    <t>R</t>
  </si>
  <si>
    <t>m²K/W</t>
  </si>
  <si>
    <t>k</t>
  </si>
  <si>
    <t>W/m²K</t>
  </si>
  <si>
    <t>VDP plafond / ZOL vloer</t>
  </si>
  <si>
    <t>GLV vloer op isolatie</t>
  </si>
  <si>
    <t>GLV vloer niet op isolatie</t>
  </si>
  <si>
    <t>GLV plafond / VDP vloer</t>
  </si>
  <si>
    <t>GLV plafond garage / VDP vloer</t>
  </si>
  <si>
    <t>GLV plafond garage / VDP platdak</t>
  </si>
  <si>
    <t>Buitenmuur Gevelsteen</t>
  </si>
  <si>
    <t>Buitenmuur Crepi</t>
  </si>
  <si>
    <t>Binnenmuur dragend</t>
  </si>
  <si>
    <t>Binnenmuur niet-dragend</t>
  </si>
  <si>
    <t>Binnenmuur dragend (garage)</t>
  </si>
  <si>
    <t>Raam</t>
  </si>
  <si>
    <t>Buitendeur</t>
  </si>
  <si>
    <t>Binnendeur</t>
  </si>
  <si>
    <t>Garagepoort</t>
  </si>
  <si>
    <t>Zadeldak noord</t>
  </si>
  <si>
    <t>Zadeldak zuid</t>
  </si>
  <si>
    <t>Puntgevel oost</t>
  </si>
  <si>
    <t>Puntgevel west</t>
  </si>
  <si>
    <t>Gevelsteen Agora Zilvergrijs 9cm</t>
  </si>
  <si>
    <t>Binnenspouwblad 14cm</t>
  </si>
  <si>
    <t>Binnenspouwblad 9cm</t>
  </si>
  <si>
    <t>Dakisolatie minerale wol 18cm</t>
  </si>
  <si>
    <t>Teb = Temperatuur inkomende lucht =</t>
  </si>
  <si>
    <t>°C</t>
  </si>
  <si>
    <t>(-10°C voor natuurlijke ventilatie, 13-17°C voor balansventilatie met WTW)</t>
  </si>
  <si>
    <t>(volle grond)</t>
  </si>
  <si>
    <t>(buitenmuur / niet vorstvrije ruimte)</t>
  </si>
  <si>
    <t>(ingegraven muur / kelder / garage)</t>
  </si>
  <si>
    <t>Betonnen vloer 30cm</t>
  </si>
  <si>
    <t>Chape 7cm (GLV + ZOL)</t>
  </si>
  <si>
    <t>Chape 9cm (VDP)</t>
  </si>
  <si>
    <t>Bepleistering 2cm</t>
  </si>
  <si>
    <t>Vloerisolatie PUR 6CM</t>
  </si>
  <si>
    <t>Vloertegels 1cm (garage)</t>
  </si>
  <si>
    <t>Vloertegels 2cm (GLV leefruimte)</t>
  </si>
  <si>
    <t>Laminaat parket 13mm (VDP)</t>
  </si>
  <si>
    <t>Garagepoort (PUR)</t>
  </si>
  <si>
    <t>Crepi 5cm + Wandisolatie PS 11cm</t>
  </si>
  <si>
    <t>Platdakisolatie PUR 8cm</t>
  </si>
  <si>
    <t>Dikte</t>
  </si>
  <si>
    <t>k-waarde</t>
  </si>
  <si>
    <t>= Warmtegeleidbaarheid</t>
  </si>
  <si>
    <t>= Warmteweerstand = Dikte / Lambda</t>
  </si>
  <si>
    <t>= U-waarde = 1 / R</t>
  </si>
  <si>
    <t>Materialen en hun k-waarden</t>
  </si>
  <si>
    <t>Correctiefactor aj</t>
  </si>
  <si>
    <t>aj = correctiefactor k-waarde =</t>
  </si>
  <si>
    <t>Ontwerptemperatuur vloerverwarming =</t>
  </si>
  <si>
    <t>kr = aangepaste k-waarde vloerverw =</t>
  </si>
  <si>
    <t>Correctiefactor vloerverwarming</t>
  </si>
  <si>
    <t>(vloerdelen met vloerverwarming moeten worden aangepast, de rest blijft 1)</t>
  </si>
  <si>
    <t xml:space="preserve">Lengte </t>
  </si>
  <si>
    <t>Breedte</t>
  </si>
  <si>
    <t>Oppervlakte</t>
  </si>
  <si>
    <t>Twand</t>
  </si>
  <si>
    <t>Delta T</t>
  </si>
  <si>
    <t>Ot</t>
  </si>
  <si>
    <t>Tlokaal</t>
  </si>
  <si>
    <t>(m)</t>
  </si>
  <si>
    <t>(m²)</t>
  </si>
  <si>
    <t>(°C)</t>
  </si>
  <si>
    <t>(K)</t>
  </si>
  <si>
    <t>(W/m²K)</t>
  </si>
  <si>
    <t>(W)</t>
  </si>
  <si>
    <t>(vloerverwarming)</t>
  </si>
  <si>
    <t>N</t>
  </si>
  <si>
    <t>O</t>
  </si>
  <si>
    <t>Z</t>
  </si>
  <si>
    <t>W</t>
  </si>
  <si>
    <t>(radiator)</t>
  </si>
  <si>
    <t>GLV Leefruimte</t>
  </si>
  <si>
    <t>Leefruimte</t>
  </si>
  <si>
    <t xml:space="preserve">Raam (na correctie 0,75 kvc + 0,25 kch + 3 kl = 0,75*1,1 + 0,25*2,8 + 3*0,07) </t>
  </si>
  <si>
    <t>Database opzoeking (hieronder niets veranderen)</t>
  </si>
  <si>
    <t>(m³)</t>
  </si>
  <si>
    <t>Blanco</t>
  </si>
  <si>
    <t>Mo</t>
  </si>
  <si>
    <t>Mcw</t>
  </si>
  <si>
    <t>B</t>
  </si>
  <si>
    <t>Vl</t>
  </si>
  <si>
    <t>Ti</t>
  </si>
  <si>
    <t>Correctiefactor Oriëntatie</t>
  </si>
  <si>
    <t>Correctiefactor Koude Wand</t>
  </si>
  <si>
    <t>Ventilatievoud</t>
  </si>
  <si>
    <t>Volume</t>
  </si>
  <si>
    <t>Temperatuur Ruimte</t>
  </si>
  <si>
    <t>Warmteverlies door transmissie</t>
  </si>
  <si>
    <t>Warmteverlies door ventilatie</t>
  </si>
  <si>
    <t>Totaal warmteverlies</t>
  </si>
  <si>
    <t>Volume Ruimte</t>
  </si>
  <si>
    <t>WC1</t>
  </si>
  <si>
    <t>WC2</t>
  </si>
  <si>
    <t>Teb</t>
  </si>
  <si>
    <t>Temperatuur Aangevoerde Buitenlucht</t>
  </si>
  <si>
    <t>Verklarende Woordenlijst &amp; Formules</t>
  </si>
  <si>
    <t>=</t>
  </si>
  <si>
    <t>Ov</t>
  </si>
  <si>
    <t>On</t>
  </si>
  <si>
    <t>Temperatuur Aangevoerde Buitenlucht (Natuurlijk ventilatie = -10°C / Balansventilatie = 13-17°C)</t>
  </si>
  <si>
    <t>Warmteverliezen - Totaal</t>
  </si>
  <si>
    <t>Warmteverliezen - Transmissie</t>
  </si>
  <si>
    <t>Temperatuur binnenruimte</t>
  </si>
  <si>
    <t>Volume ruimte</t>
  </si>
  <si>
    <t>Correctiefactor koude wand (Indien ruimte een wand bevat die meer dan 50% uit glas bestaat = 0,01 zoniet = 0,00)</t>
  </si>
  <si>
    <t>Correctiefactor oriëntatie (Noord = 0,050 / Oost = 0,025 / Zuid = 0,000 / West = 0,025 / Altijd hoogste nemen bij meerdere richtingen)</t>
  </si>
  <si>
    <t>Grenzend aan</t>
  </si>
  <si>
    <t>Totaal warmteverlies leefruimte</t>
  </si>
  <si>
    <t>Totaal warmteverlies berging</t>
  </si>
  <si>
    <t>Totaal warmteverlies WC1</t>
  </si>
  <si>
    <t>Totaal warmteverlies vestaire</t>
  </si>
  <si>
    <t>Totaal warmteverlies inkom</t>
  </si>
  <si>
    <t>Totaal warmteverlies garage</t>
  </si>
  <si>
    <t>Totaal warmteverlies slaapkamer 1</t>
  </si>
  <si>
    <t>Totaal warmteverlies slaapkamer 2</t>
  </si>
  <si>
    <t>Totaal warmteverlies slaapkamer 3</t>
  </si>
  <si>
    <t>Totaal warmteverlies badkamer</t>
  </si>
  <si>
    <t>Totaal warmteverlies douchecel</t>
  </si>
  <si>
    <t>Totaal warmteverlies WC2</t>
  </si>
  <si>
    <t>Polyvalente ruimte</t>
  </si>
  <si>
    <t>Totaal warmteverlies Poly ruimte</t>
  </si>
  <si>
    <t>Totaal warmteverlies zolder</t>
  </si>
  <si>
    <t>made by Steven Van Lier</t>
  </si>
  <si>
    <t>Totaal warmteverlies gecorrigeerd</t>
  </si>
  <si>
    <t>On corrected</t>
  </si>
  <si>
    <t>Totaal warmteverlies gecorrigeerd (negatieve verliezen zijn m.a.w. opwarmingen en worden niet meegerekend)</t>
  </si>
  <si>
    <t>Inleiding</t>
  </si>
  <si>
    <t>De bedoeling van dit excel-blad was om voor mijn nieuwbouw een duidelijke warmteverliesberekening uit te voeren maar ook om andere toekomstige bouwers meer uitleg te geven hoe dat deze berekeningen zijn opgevat. Hieronder wordt stap voor stap uitgelegd hoe ik mijn berekeningen heb opgevat en welke keuzes er gemaakt zijn.</t>
  </si>
  <si>
    <t>De eerste stap bestaat uit de berekening van alle oppervlaktes en volumes van alle deelruimten. Hiervoor heb ik steeds de binnenmaten genomen.</t>
  </si>
  <si>
    <t>Indien geen mooie rechthoekige ruimten heb ik deze opgesplitst in deel rechthoeken en apart uitgerekend waarna deze tot 1 totaal kunnen worden opgeteld.</t>
  </si>
  <si>
    <t>At = Totale Oppervlakte Bouwschil =</t>
  </si>
  <si>
    <t>At = Totale Opp. Bouwschil =</t>
  </si>
  <si>
    <t>V = Beschermd Volume =</t>
  </si>
  <si>
    <t>V / At = Compactheid v/d woning =</t>
  </si>
  <si>
    <t>Globaal Isolatieniveau (K)</t>
  </si>
  <si>
    <t>* k</t>
  </si>
  <si>
    <t>kj</t>
  </si>
  <si>
    <t>aj</t>
  </si>
  <si>
    <t>Aj</t>
  </si>
  <si>
    <t>ks =</t>
  </si>
  <si>
    <t>k-waarde kj</t>
  </si>
  <si>
    <t>Oppervlakte in het buitenschil Aj</t>
  </si>
  <si>
    <t>Correctiefactor bj</t>
  </si>
  <si>
    <t>= Warmtedoorgangscoëfficient van elk onderdeel van de woning</t>
  </si>
  <si>
    <t>= Correctiefactor k-waarde (volle grond = 0,33 / ingegraven muur / kelder / garage = 0,67 / al de rest = 1)</t>
  </si>
  <si>
    <t>bj</t>
  </si>
  <si>
    <t>= Correctiefactor berekening ks (indien onderstaand onderdeel van de woning bloot staat aan buiten = 1 zoniet = 0)</t>
  </si>
  <si>
    <t>ks</t>
  </si>
  <si>
    <t>= Gemiddelde warmtedoorgangscoëfficiënt = SOM(aj*bj*kj*Aj) / SOM(Aj)</t>
  </si>
  <si>
    <t>(W/K)</t>
  </si>
  <si>
    <t>= Totaal verliesoppervlakte = totale oppervlakte blootgesteld aan buiten van elke onderdeel</t>
  </si>
  <si>
    <t>At = SOM(Aj) =</t>
  </si>
  <si>
    <t>SOM(aj*bj*kj*Aj) =</t>
  </si>
  <si>
    <t>aj * bj * kj * Aj</t>
  </si>
  <si>
    <t>V / At =</t>
  </si>
  <si>
    <t>V / At</t>
  </si>
  <si>
    <t>= Compactheid van de woning (berekend op apart tabblad)</t>
  </si>
  <si>
    <t>Kx</t>
  </si>
  <si>
    <t>= Globaal isolatieniveau</t>
  </si>
  <si>
    <t>Kx =</t>
  </si>
  <si>
    <t>Berekening oppervlaktes</t>
  </si>
  <si>
    <t>W/K</t>
  </si>
  <si>
    <t>Schermbladen zijn opgemaakt in een resolutie van 1600x1200.</t>
  </si>
  <si>
    <t>De 2de stap is de berekening van de compactheid van de woning. Dit is de verhouding van het volume dat geïsoleerd is van de buitenlucht tot de totale oppervlakte van de bouwschil.</t>
  </si>
  <si>
    <t>Vloer</t>
  </si>
  <si>
    <t>Voor de totale oppervlakte van de bouwschil en het volume heb ik steeds de buitenafmetingen van het gebouw genomen.</t>
  </si>
  <si>
    <t>Cellen met een donker groene kleur dienen worden ingevuld. Achter zwarte velden steken formules.</t>
  </si>
  <si>
    <t>Het tabblad "Temperaturen" is belangrijk omdat vele andere tabbladen hiervan gebruik maken.</t>
  </si>
  <si>
    <t>Voor elke ruimte aanwezig in de woning en daarbuiten moet men een temperatuur instellen zodat in een latere fase de warmteverliezen kunnen worden berekend. Zoals in elk ontwerpsituatie moet men altijd ontwerpen voor de slechts denkbare situatie dwz strenge vorst buiten + alle ruimtes in gebruik en verwarmd. Hierdoor krijgt men bv voor buiten=-10°C maar ook 20°C in de slaapkamers want bv studerende kinderen.</t>
  </si>
  <si>
    <t>Teb is de temperatuur van de inkomende lucht. Deze is belangrijk want hiermee zullen de ventilatieverliezen van het gebouw worden berekend. Bij natuurlijk ventilatie is deze -10°C omdat je koude binnenlucht binnentrekt maar bij balansventilatie wordt deze opgewarmd en mag men kiezen tussen 13°C en 17°C. Persoonlijk ken ik de rendementen van de warmtewisselaars van de balansventilatie onvoldoende dus kies ik daarom het nadeligst dus 13°C.</t>
  </si>
  <si>
    <t>aj is de correctiecoëfficient voor de k-waarde. Deze factor past de koudebrugwerking aan in de berekende k-waarde. De keuze ligt tussen 1/3, 2/3 of 3/3.</t>
  </si>
  <si>
    <t>Tenslotte is er nog een berekende correctiefactor die vloerverwarming in rekening brengt in de vloeren. Hiervoor moet men de ontwerptemperatuur ingeven waarop de correctiefactor wordt uitgerekend. De formule staat op het blad temperaturen beschreven.</t>
  </si>
  <si>
    <t>Materialen</t>
  </si>
  <si>
    <t>Alvorens we warmteverliezen kunnen berekenen moeten we van elke onderdeel van de woning de k-waarde (of U-waarde) berekenen. De k-waarde kan men beschrijven als een soort warmtedoorgangscoëfficiënt van elk onderdeel. Elk onderdeel kan bestaan uit verschillende materialen bv buitenmuur = gevelsteen + spouwisolatie + binnenspouwblad + bepleistering.</t>
  </si>
  <si>
    <t>TOTAAL VLOEROPPERVLAKTE =</t>
  </si>
  <si>
    <t>TOTAAL VOLUME =</t>
  </si>
  <si>
    <t>m³ (gebruikmakend van binnenafmetingen)</t>
  </si>
  <si>
    <t>m² (gebruikmakend van binnenafmetingen)</t>
  </si>
  <si>
    <t>Opbouw oppervlakken</t>
  </si>
  <si>
    <t>Links horizontaal vinden we alle onderdelen van de woning waardoor transmissieverliezen kunnen gebeuren.</t>
  </si>
  <si>
    <t>Boven verticaal vinden we alle bouwmaterialen die zullen worden gebruikt en in de woning met hun corresponderende dikte en warmtegeleidbaarheid waardoor hun individuele k-waarde kan berekend worden.</t>
  </si>
  <si>
    <t>De k-waarde van het raam is een klein beetje speciaal want alu ramen krijg je volgende formule: k-waarde = 0,75*kglas+0,25*kprofiel+3*klinwarmtedoorgang = 0,75*1,1+0,25*2,8+3*0,07 = 1,735</t>
  </si>
  <si>
    <t>Waarom soms 2 in de matrix? Dit is het geval bij binnenmuren die langs 2 kanten worden bepleisterd of bv 2 lagen van een type isolatie.</t>
  </si>
  <si>
    <t>Isolatieniveau</t>
  </si>
  <si>
    <t>Tenslotte moet men in de onderstaande matrix "1" (of soms "2) invullen om aan te duiden dat het materiaal aanwezig is in dit onderdeel van de woning. Hiermede kan dan de samengestelde k-waarde worden berekend. De formules staan op het tabblad.</t>
  </si>
  <si>
    <t>Vervolgens kan met de k-waarden, de totale oppervlakte bouwschil en het volume de K-waarde van de woning berekenen. Het K-peil wordt berekend a.d.h.v. de gemiddelde wantdoorgangscoëfficiënt ks en de compactheid van de woning.</t>
  </si>
  <si>
    <t>Om ks te berekenen moet men de verhouding maken van de som van aj*bj*kj*Aj op de som van Aj. De uitleg van de coëfficiënten staat op het tabblad "Isolatieniveau".</t>
  </si>
  <si>
    <t>In de in te vullen matrix moet je de factor bj en de oppervlakten Aj zelf invullen. De factor bj staat voor de aan- of afwezigheid in de buitenschil (bv. Buitenmuur = 1 en Binnenmuur = 0).</t>
  </si>
  <si>
    <t>Het grootste en moeilijkste werk zit in de totale berekening van alle warmteverliezen door transmissie binnen in de woning maar ook naar buiten.</t>
  </si>
  <si>
    <t>De bedoeling in dit tabblad is om elke ruimte in de woning apart te bekijken en alle oppervlakten waaraan deze ruimte raakt te definiëren waardoor dan via de vooropgestelde temperaturen het warmteverlies per oppervlak kan berekend worden.</t>
  </si>
  <si>
    <t>Ik heb de ruimtes altijd als volgt ontleed: 1) vloeren 2) plafonds 3) N-gevel 4) O-gevel 5) Z-gevel 6) W-gevel. De windrichtingen slaan niet op de echte windrichting maar op voorgevel (=N) zijgevel links (=O) achtergevel (=Z) en zijgevel rechts (=W).</t>
  </si>
  <si>
    <t>Soms zal men ook merken dat er negatieve oppervlakten aanwezig. Dit zijn de aftrekken voor de deuren en ramen.</t>
  </si>
  <si>
    <t>Een negatieve waarde als uitkomst in de warmteverliesberekening is helemaal normaal omdat dit een warmtetransport betekent van een warme naar een koudere ruimte. Het kan ook zijn dat een gehele ruimte een negatieve warmteverlies krijgt wat dan betekent dat deze ruimte voldoende wordt verwarmd door omliggende ruimten.</t>
  </si>
  <si>
    <t>Tenslotte kunnen we nu de totale warmteverliezen berekenen. Bij de transmissieverliezen komen ook nog een deel ventilatieverliezen. De formules voor deze berekeningen vind je terug op het tabblad "Warmteverliezen - Totaal".</t>
  </si>
  <si>
    <t>De correctiefactoren Oriëntatie en Koudebrugwerking moeten zelf worden ingevuld en de mogelijk waarden staan uitgelegd op het tabblad.</t>
  </si>
  <si>
    <t>De ventilatievoud factor moet ook zelf worden ingevuld (0, 1, 2 of 3) waarbij "0" geen ventilatie betekent en "3" maximale ventilatie.</t>
  </si>
  <si>
    <t>Als laatste wordt er ook nog een gecorrigeerde totaal warmteverlies berekend om zo de negatieve verliezen te verwijderen waardoor het resultaat dichter tegen de reële warmtevraag komt.</t>
  </si>
  <si>
    <t>Vragen</t>
  </si>
  <si>
    <t>Buiten-coefficient Rse (1/8)</t>
  </si>
  <si>
    <t>Buiten-coefficient Rse (1/23)</t>
  </si>
  <si>
    <t>Binnen-coefficient Rsi (1/6)</t>
  </si>
  <si>
    <t>Binnen-coefficient Rsi (1/8)</t>
  </si>
  <si>
    <t>De warmteovergansweerstanden Rsi en Rse zijn reeds ingevuld en de juiste toepassing ervan kan je terug vinden op mijn website in het document "Tips voor het invullen isolatieformulier".</t>
  </si>
  <si>
    <t>Aanpassingen</t>
  </si>
  <si>
    <t>Buitentemperatuur naar -8°C gebracht vanwege midden Vlaanderen. Kust = -7°C en Kempen = -9°C</t>
  </si>
  <si>
    <t>Temperatuur volle grond gebracht naar 5°C</t>
  </si>
  <si>
    <t>(temperatuur van het water in de vloerverwarmingsbuizen)</t>
  </si>
  <si>
    <t>Temperatuur aangezogen lucht op 17°C gebracht aangezien een WTW zal worden geïnstalleerd.</t>
  </si>
  <si>
    <t>De waarde in de matrix voor de Rsi coëfficiënt voor binnenmuren en binnenvloeren van 1 naar 2 gebracht omdat deze 2 maal moet gerekend worden want beide ruimtes zijn binnen het beschermd volume.</t>
  </si>
  <si>
    <t>Er moeten geen waarden in de matrix worden gevuld voor de Rsi of Rse waarde van een raam omdat deze worden berekend in de k-waarde van het raam.</t>
  </si>
  <si>
    <t>Lambda (gevelsteen) op 1,053 gebracht na controle rekentabel Terca.</t>
  </si>
  <si>
    <t>Dikte (crepi 5cm + Isolatie PS 11cm) aangepast naar 11cm ipv 16cm want crepi heeft niet dezelfde warmteweerstand. Dus iets nadeliger gerekend maar veiliger.</t>
  </si>
  <si>
    <t>Lambda (binnenspouwblad) op 0,3 gebracht want dit is het gemiddelde op de markt en hierdoor komt de totale k-waarde van de buitenmuur overeen met de bekomen waarde in de rekentabel van Terca.</t>
  </si>
  <si>
    <t>Lambda (tegels) op 2 gebracht na info te hebben ontvangen van verschillende forum gebruikers.</t>
  </si>
  <si>
    <t>Buitenmuren</t>
  </si>
  <si>
    <t>Ramen</t>
  </si>
  <si>
    <t>Ventilatie</t>
  </si>
  <si>
    <t>Warmteverliezen - Grafiek</t>
  </si>
  <si>
    <t>Ventilatievoud (In welk regime ververst men de binnenlucht / 0, 1, 2 of 3)</t>
  </si>
  <si>
    <t>Dimensionering Centrale Verwarming</t>
  </si>
  <si>
    <t>Berekende warmteverlies</t>
  </si>
  <si>
    <t>Gekozen warmteverlies</t>
  </si>
  <si>
    <t>De aj-correctiefactor op tabblad "Isolatieniveau" bij de grond isolatie op 1 gezet want was reeds aangerekend in het tabblad "Materialen".</t>
  </si>
  <si>
    <t>Spouwisolatie minerale wol 8cm</t>
  </si>
  <si>
    <t>Betonnen vloer 18cm</t>
  </si>
  <si>
    <t>In tabblad materialen is betonvloer van 18cm bijgevoegd omdat tussen de verdiepen geen 30cm maar slechts 18cm beton is.</t>
  </si>
  <si>
    <t>Handleiding - Versie 2.2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</si>
</sst>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dd/mm/yy"/>
  </numFmts>
  <fonts count="18">
    <font>
      <sz val="10"/>
      <name val="Arial"/>
      <family val="0"/>
    </font>
    <font>
      <b/>
      <sz val="20"/>
      <name val="Arial"/>
      <family val="2"/>
    </font>
    <font>
      <b/>
      <sz val="10"/>
      <name val="Arial"/>
      <family val="2"/>
    </font>
    <font>
      <sz val="8"/>
      <name val="Arial"/>
      <family val="0"/>
    </font>
    <font>
      <b/>
      <sz val="7"/>
      <name val="Arial"/>
      <family val="2"/>
    </font>
    <font>
      <b/>
      <sz val="11"/>
      <name val="Arial"/>
      <family val="2"/>
    </font>
    <font>
      <sz val="8"/>
      <name val="Tahoma"/>
      <family val="0"/>
    </font>
    <font>
      <b/>
      <sz val="8"/>
      <name val="Tahoma"/>
      <family val="0"/>
    </font>
    <font>
      <i/>
      <sz val="10"/>
      <name val="Arial"/>
      <family val="2"/>
    </font>
    <font>
      <sz val="10"/>
      <color indexed="9"/>
      <name val="Arial"/>
      <family val="0"/>
    </font>
    <font>
      <u val="single"/>
      <sz val="10"/>
      <color indexed="12"/>
      <name val="Arial"/>
      <family val="0"/>
    </font>
    <font>
      <u val="single"/>
      <sz val="10"/>
      <color indexed="36"/>
      <name val="Arial"/>
      <family val="0"/>
    </font>
    <font>
      <sz val="12"/>
      <name val="Arial"/>
      <family val="0"/>
    </font>
    <font>
      <b/>
      <sz val="12"/>
      <color indexed="9"/>
      <name val="Arial"/>
      <family val="2"/>
    </font>
    <font>
      <b/>
      <sz val="10"/>
      <color indexed="9"/>
      <name val="Arial"/>
      <family val="2"/>
    </font>
    <font>
      <b/>
      <sz val="26"/>
      <name val="Arial"/>
      <family val="2"/>
    </font>
    <font>
      <sz val="10"/>
      <color indexed="17"/>
      <name val="Arial"/>
      <family val="0"/>
    </font>
    <font>
      <b/>
      <sz val="8"/>
      <name val="Arial"/>
      <family val="2"/>
    </font>
  </fonts>
  <fills count="4">
    <fill>
      <patternFill/>
    </fill>
    <fill>
      <patternFill patternType="gray125"/>
    </fill>
    <fill>
      <patternFill patternType="solid">
        <fgColor indexed="48"/>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vertical="top"/>
    </xf>
    <xf numFmtId="0" fontId="0" fillId="0" borderId="0" xfId="0" applyAlignment="1">
      <alignment vertical="center"/>
    </xf>
    <xf numFmtId="2" fontId="0" fillId="0" borderId="0" xfId="0" applyNumberFormat="1" applyAlignment="1">
      <alignment horizontal="center" vertical="center"/>
    </xf>
    <xf numFmtId="0" fontId="0" fillId="0" borderId="0" xfId="0"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vertical="center"/>
    </xf>
    <xf numFmtId="164" fontId="0" fillId="0" borderId="0" xfId="0" applyNumberFormat="1" applyAlignment="1">
      <alignment horizontal="center"/>
    </xf>
    <xf numFmtId="0" fontId="0" fillId="0" borderId="0" xfId="0"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top" wrapText="1"/>
    </xf>
    <xf numFmtId="2" fontId="2" fillId="0" borderId="0" xfId="0" applyNumberFormat="1" applyFont="1" applyAlignment="1">
      <alignment horizontal="center" vertical="top" wrapText="1"/>
    </xf>
    <xf numFmtId="2" fontId="2" fillId="0" borderId="0" xfId="0" applyNumberFormat="1" applyFont="1" applyAlignment="1">
      <alignment horizontal="center"/>
    </xf>
    <xf numFmtId="0" fontId="2" fillId="0" borderId="0" xfId="0" applyFont="1" applyAlignment="1">
      <alignment horizontal="center" vertical="top" wrapText="1"/>
    </xf>
    <xf numFmtId="0" fontId="4" fillId="0" borderId="0" xfId="0" applyFont="1" applyAlignment="1">
      <alignment horizontal="center" vertical="top" wrapText="1"/>
    </xf>
    <xf numFmtId="0" fontId="2" fillId="0" borderId="0" xfId="0" applyFont="1" applyAlignment="1">
      <alignment horizontal="center" vertical="top"/>
    </xf>
    <xf numFmtId="0" fontId="5" fillId="0" borderId="0" xfId="0" applyFont="1" applyAlignment="1">
      <alignment vertical="center"/>
    </xf>
    <xf numFmtId="0" fontId="5" fillId="0" borderId="0" xfId="0" applyFont="1" applyAlignment="1">
      <alignment/>
    </xf>
    <xf numFmtId="2" fontId="5" fillId="0" borderId="0" xfId="0" applyNumberFormat="1" applyFont="1" applyAlignment="1">
      <alignment horizontal="center"/>
    </xf>
    <xf numFmtId="2" fontId="5" fillId="0" borderId="0" xfId="0" applyNumberFormat="1" applyFont="1" applyAlignment="1">
      <alignment horizontal="right"/>
    </xf>
    <xf numFmtId="2" fontId="5" fillId="0" borderId="0" xfId="0" applyNumberFormat="1" applyFont="1" applyAlignment="1">
      <alignment horizontal="left"/>
    </xf>
    <xf numFmtId="2" fontId="0" fillId="0" borderId="0" xfId="0" applyNumberFormat="1" applyAlignment="1">
      <alignment/>
    </xf>
    <xf numFmtId="0" fontId="0" fillId="0" borderId="0" xfId="0" applyAlignment="1">
      <alignment horizontal="right"/>
    </xf>
    <xf numFmtId="0" fontId="0" fillId="0" borderId="0" xfId="0" applyAlignment="1" quotePrefix="1">
      <alignment/>
    </xf>
    <xf numFmtId="2" fontId="0" fillId="0" borderId="0" xfId="0" applyNumberFormat="1" applyFill="1" applyAlignment="1">
      <alignment horizontal="center"/>
    </xf>
    <xf numFmtId="0" fontId="8" fillId="0" borderId="0" xfId="0" applyFont="1" applyBorder="1" applyAlignment="1">
      <alignment/>
    </xf>
    <xf numFmtId="0" fontId="0" fillId="0" borderId="0" xfId="0" applyFont="1" applyFill="1" applyAlignment="1">
      <alignment/>
    </xf>
    <xf numFmtId="164" fontId="0" fillId="0" borderId="0" xfId="0" applyNumberFormat="1" applyBorder="1" applyAlignment="1">
      <alignment horizontal="center"/>
    </xf>
    <xf numFmtId="0" fontId="9" fillId="0" borderId="0" xfId="0" applyFont="1" applyFill="1" applyAlignment="1">
      <alignment/>
    </xf>
    <xf numFmtId="0" fontId="0" fillId="0" borderId="0" xfId="0" applyAlignment="1">
      <alignment horizontal="left"/>
    </xf>
    <xf numFmtId="0" fontId="9" fillId="2" borderId="0" xfId="0" applyFont="1" applyFill="1" applyAlignment="1">
      <alignment/>
    </xf>
    <xf numFmtId="2" fontId="9" fillId="2" borderId="0" xfId="0" applyNumberFormat="1" applyFont="1" applyFill="1" applyAlignment="1">
      <alignment horizontal="center"/>
    </xf>
    <xf numFmtId="0" fontId="9" fillId="2" borderId="0" xfId="0" applyFont="1" applyFill="1" applyAlignment="1">
      <alignment horizontal="right"/>
    </xf>
    <xf numFmtId="0" fontId="9" fillId="2" borderId="0" xfId="0" applyFont="1" applyFill="1" applyAlignment="1">
      <alignment horizontal="center"/>
    </xf>
    <xf numFmtId="1" fontId="0" fillId="0" borderId="0" xfId="0" applyNumberFormat="1" applyAlignment="1">
      <alignment horizontal="right"/>
    </xf>
    <xf numFmtId="1" fontId="0" fillId="0" borderId="0" xfId="0" applyNumberFormat="1" applyAlignment="1">
      <alignment/>
    </xf>
    <xf numFmtId="1" fontId="0" fillId="0" borderId="0" xfId="0" applyNumberFormat="1" applyAlignment="1">
      <alignment horizontal="center"/>
    </xf>
    <xf numFmtId="1" fontId="0" fillId="0" borderId="0" xfId="0" applyNumberFormat="1" applyAlignment="1">
      <alignment horizontal="center" vertical="center" wrapText="1"/>
    </xf>
    <xf numFmtId="1" fontId="0" fillId="0" borderId="0" xfId="0" applyNumberFormat="1" applyAlignment="1">
      <alignment horizontal="center" vertical="center"/>
    </xf>
    <xf numFmtId="0" fontId="0" fillId="0" borderId="0" xfId="0" applyAlignment="1">
      <alignment horizontal="left" textRotation="45" wrapText="1"/>
    </xf>
    <xf numFmtId="1" fontId="0" fillId="0" borderId="0" xfId="0" applyNumberFormat="1" applyAlignment="1">
      <alignment horizontal="left" textRotation="45" wrapText="1"/>
    </xf>
    <xf numFmtId="2" fontId="0" fillId="0" borderId="0" xfId="0" applyNumberFormat="1" applyAlignment="1">
      <alignment horizontal="left" textRotation="45" wrapText="1"/>
    </xf>
    <xf numFmtId="0" fontId="0" fillId="0" borderId="0" xfId="0" applyAlignment="1">
      <alignment horizontal="right" vertical="center"/>
    </xf>
    <xf numFmtId="0" fontId="0" fillId="0" borderId="0" xfId="0" applyAlignment="1" quotePrefix="1">
      <alignment horizontal="right"/>
    </xf>
    <xf numFmtId="4" fontId="0" fillId="0" borderId="0" xfId="0" applyNumberFormat="1" applyAlignment="1">
      <alignment horizontal="right"/>
    </xf>
    <xf numFmtId="4" fontId="14" fillId="3" borderId="0" xfId="0" applyNumberFormat="1" applyFont="1" applyFill="1" applyAlignment="1">
      <alignment horizontal="right"/>
    </xf>
    <xf numFmtId="2" fontId="14" fillId="3" borderId="0" xfId="0" applyNumberFormat="1" applyFont="1" applyFill="1" applyAlignment="1">
      <alignment horizontal="center"/>
    </xf>
    <xf numFmtId="0" fontId="14" fillId="3" borderId="0" xfId="0" applyFont="1" applyFill="1" applyAlignment="1">
      <alignment horizontal="center"/>
    </xf>
    <xf numFmtId="2" fontId="14" fillId="3" borderId="0" xfId="0" applyNumberFormat="1" applyFont="1" applyFill="1" applyAlignment="1">
      <alignment horizontal="right"/>
    </xf>
    <xf numFmtId="0" fontId="14" fillId="3" borderId="0" xfId="0" applyFont="1" applyFill="1" applyAlignment="1" quotePrefix="1">
      <alignment/>
    </xf>
    <xf numFmtId="0" fontId="2" fillId="0" borderId="0" xfId="0" applyFont="1" applyAlignment="1">
      <alignment horizontal="center"/>
    </xf>
    <xf numFmtId="2" fontId="2" fillId="0" borderId="0" xfId="0" applyNumberFormat="1" applyFont="1" applyFill="1" applyAlignment="1">
      <alignment horizontal="center"/>
    </xf>
    <xf numFmtId="4" fontId="13" fillId="3" borderId="0" xfId="0" applyNumberFormat="1" applyFont="1" applyFill="1" applyAlignment="1">
      <alignment horizontal="right"/>
    </xf>
    <xf numFmtId="4" fontId="12" fillId="0" borderId="0" xfId="0" applyNumberFormat="1" applyFont="1" applyAlignment="1">
      <alignment horizontal="right"/>
    </xf>
    <xf numFmtId="4" fontId="0" fillId="0" borderId="0" xfId="0" applyNumberFormat="1" applyAlignment="1">
      <alignment vertical="center"/>
    </xf>
    <xf numFmtId="4" fontId="13" fillId="3" borderId="0" xfId="0" applyNumberFormat="1" applyFont="1" applyFill="1" applyAlignment="1">
      <alignment vertical="center"/>
    </xf>
    <xf numFmtId="0" fontId="0" fillId="2" borderId="0" xfId="0" applyFill="1" applyAlignment="1">
      <alignment/>
    </xf>
    <xf numFmtId="0" fontId="0" fillId="2" borderId="0" xfId="0" applyFill="1" applyAlignment="1">
      <alignment horizontal="center"/>
    </xf>
    <xf numFmtId="2" fontId="0" fillId="2" borderId="0" xfId="0" applyNumberFormat="1" applyFill="1" applyAlignment="1">
      <alignment horizontal="center"/>
    </xf>
    <xf numFmtId="0" fontId="0" fillId="2" borderId="0" xfId="0" applyFill="1" applyAlignment="1">
      <alignment horizontal="right"/>
    </xf>
    <xf numFmtId="0" fontId="0" fillId="0" borderId="0" xfId="0" applyAlignment="1">
      <alignment wrapText="1"/>
    </xf>
    <xf numFmtId="0" fontId="5" fillId="0" borderId="0" xfId="0" applyFont="1" applyAlignment="1">
      <alignment wrapText="1"/>
    </xf>
    <xf numFmtId="0" fontId="2" fillId="0" borderId="0" xfId="0" applyFont="1" applyAlignment="1">
      <alignment textRotation="45" wrapText="1"/>
    </xf>
    <xf numFmtId="2" fontId="15" fillId="0" borderId="0" xfId="0" applyNumberFormat="1" applyFont="1" applyAlignment="1">
      <alignment horizontal="center" vertical="center" textRotation="45" wrapText="1"/>
    </xf>
    <xf numFmtId="2" fontId="2" fillId="0" borderId="0" xfId="0" applyNumberFormat="1" applyFont="1" applyAlignment="1">
      <alignment textRotation="45" wrapText="1"/>
    </xf>
    <xf numFmtId="0" fontId="2" fillId="0" borderId="0" xfId="0" applyFont="1" applyAlignment="1">
      <alignment textRotation="45"/>
    </xf>
    <xf numFmtId="0" fontId="5" fillId="0" borderId="0" xfId="0" applyFont="1" applyAlignment="1">
      <alignment horizontal="center"/>
    </xf>
    <xf numFmtId="0" fontId="1" fillId="0" borderId="0" xfId="0" applyFont="1" applyAlignment="1">
      <alignment horizontal="left"/>
    </xf>
    <xf numFmtId="0" fontId="16" fillId="0" borderId="0" xfId="0" applyFont="1" applyAlignment="1">
      <alignment horizontal="center" vertical="center"/>
    </xf>
    <xf numFmtId="2" fontId="2" fillId="0" borderId="0" xfId="0" applyNumberFormat="1" applyFont="1" applyAlignment="1">
      <alignment horizontal="center" wrapText="1"/>
    </xf>
    <xf numFmtId="164" fontId="16" fillId="0" borderId="0" xfId="0" applyNumberFormat="1" applyFont="1" applyAlignment="1">
      <alignment horizontal="center" vertical="center"/>
    </xf>
    <xf numFmtId="0" fontId="0" fillId="0" borderId="0" xfId="0" applyAlignment="1">
      <alignment horizontal="left" vertical="center"/>
    </xf>
    <xf numFmtId="0" fontId="16" fillId="0" borderId="0" xfId="0" applyFont="1" applyAlignment="1">
      <alignment/>
    </xf>
    <xf numFmtId="0" fontId="0" fillId="0" borderId="0" xfId="0"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center" textRotation="45" wrapText="1"/>
    </xf>
    <xf numFmtId="0" fontId="16" fillId="0" borderId="0" xfId="0" applyFont="1" applyAlignment="1">
      <alignment horizontal="center"/>
    </xf>
    <xf numFmtId="2" fontId="16" fillId="0" borderId="0" xfId="0" applyNumberFormat="1" applyFont="1" applyAlignment="1">
      <alignment horizontal="center"/>
    </xf>
    <xf numFmtId="0" fontId="5" fillId="0" borderId="0" xfId="0" applyFont="1" applyAlignment="1">
      <alignment horizontal="right" vertical="center"/>
    </xf>
    <xf numFmtId="2" fontId="5" fillId="0" borderId="0" xfId="0" applyNumberFormat="1" applyFont="1" applyAlignment="1">
      <alignment vertical="center"/>
    </xf>
    <xf numFmtId="2" fontId="5" fillId="0" borderId="0" xfId="0" applyNumberFormat="1" applyFont="1" applyAlignment="1">
      <alignment/>
    </xf>
    <xf numFmtId="0" fontId="5" fillId="0" borderId="0" xfId="0" applyFont="1" applyAlignment="1">
      <alignment horizontal="left"/>
    </xf>
    <xf numFmtId="0" fontId="0" fillId="0" borderId="0" xfId="0" applyAlignment="1" quotePrefix="1">
      <alignment vertical="center"/>
    </xf>
    <xf numFmtId="0" fontId="0" fillId="0" borderId="0" xfId="0" applyAlignment="1" quotePrefix="1">
      <alignment horizontal="left" vertical="center"/>
    </xf>
    <xf numFmtId="2" fontId="0" fillId="0" borderId="0" xfId="0" applyNumberFormat="1" applyAlignment="1">
      <alignment vertical="center"/>
    </xf>
    <xf numFmtId="1" fontId="5"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Border="1" applyAlignment="1">
      <alignment vertical="center"/>
    </xf>
    <xf numFmtId="2" fontId="16"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0" fillId="0" borderId="0" xfId="0" applyFill="1" applyBorder="1" applyAlignment="1">
      <alignment vertical="center"/>
    </xf>
    <xf numFmtId="2" fontId="0" fillId="0" borderId="0" xfId="0" applyNumberFormat="1" applyAlignment="1">
      <alignment horizontal="right" vertical="center"/>
    </xf>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applyAlignment="1">
      <alignment vertical="center"/>
    </xf>
    <xf numFmtId="2" fontId="16"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2" fontId="16" fillId="0" borderId="0" xfId="0" applyNumberFormat="1" applyFont="1" applyAlignment="1">
      <alignment horizontal="center" vertical="center"/>
    </xf>
    <xf numFmtId="0" fontId="16" fillId="0" borderId="0" xfId="0" applyFont="1" applyAlignment="1">
      <alignment vertical="center"/>
    </xf>
    <xf numFmtId="2" fontId="0" fillId="0" borderId="0" xfId="0" applyNumberFormat="1" applyFont="1" applyAlignment="1">
      <alignment vertical="center"/>
    </xf>
    <xf numFmtId="165" fontId="16" fillId="0" borderId="0" xfId="0" applyNumberFormat="1" applyFont="1" applyAlignment="1">
      <alignment vertical="center"/>
    </xf>
    <xf numFmtId="165" fontId="16" fillId="0" borderId="0" xfId="0" applyNumberFormat="1" applyFont="1" applyAlignment="1">
      <alignment horizontal="center" vertical="center"/>
    </xf>
    <xf numFmtId="165" fontId="0" fillId="0" borderId="0" xfId="0" applyNumberFormat="1" applyAlignment="1">
      <alignment horizontal="center" vertical="center"/>
    </xf>
    <xf numFmtId="165" fontId="0" fillId="0" borderId="0" xfId="0" applyNumberFormat="1" applyAlignment="1">
      <alignment vertical="center"/>
    </xf>
    <xf numFmtId="165" fontId="0" fillId="0" borderId="0" xfId="0" applyNumberFormat="1" applyFont="1" applyAlignment="1">
      <alignment horizontal="center" vertical="center"/>
    </xf>
    <xf numFmtId="2" fontId="16" fillId="0" borderId="0" xfId="0" applyNumberFormat="1" applyFont="1" applyAlignment="1">
      <alignment horizontal="center" vertical="center"/>
    </xf>
    <xf numFmtId="0" fontId="16" fillId="0" borderId="0" xfId="0" applyFont="1" applyAlignment="1">
      <alignment horizontal="left"/>
    </xf>
    <xf numFmtId="0" fontId="0" fillId="0" borderId="0" xfId="0" applyAlignment="1">
      <alignment horizontal="right" wrapText="1"/>
    </xf>
    <xf numFmtId="0" fontId="0" fillId="0" borderId="0" xfId="0" applyAlignment="1">
      <alignment vertical="center" wrapText="1"/>
    </xf>
    <xf numFmtId="0" fontId="1" fillId="0" borderId="0" xfId="0" applyFont="1" applyAlignment="1">
      <alignment horizontal="left" vertical="center"/>
    </xf>
    <xf numFmtId="4" fontId="0" fillId="0" borderId="0" xfId="0" applyNumberFormat="1" applyAlignment="1">
      <alignment/>
    </xf>
    <xf numFmtId="0" fontId="0" fillId="0" borderId="0" xfId="0" applyAlignment="1">
      <alignment textRotation="45"/>
    </xf>
    <xf numFmtId="166" fontId="0" fillId="0" borderId="0" xfId="0" applyNumberFormat="1" applyAlignment="1">
      <alignment horizontal="center" vertical="top"/>
    </xf>
    <xf numFmtId="0" fontId="2" fillId="0" borderId="0" xfId="0" applyFont="1" applyAlignment="1">
      <alignment horizontal="center" vertical="center" textRotation="45"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Warmteverliezen (%)</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'Warmteverliezen - Grafiek'!$D$193:$D$197</c:f>
              <c:strCache/>
            </c:strRef>
          </c:cat>
          <c:val>
            <c:numRef>
              <c:f>'Warmteverliezen - Grafiek'!$E$193:$E$197</c:f>
              <c:numCache>
                <c:ptCount val="5"/>
                <c:pt idx="0">
                  <c:v>324.5179419779311</c:v>
                </c:pt>
                <c:pt idx="1">
                  <c:v>1534.6792051340483</c:v>
                </c:pt>
                <c:pt idx="2">
                  <c:v>4001.6008033644703</c:v>
                </c:pt>
                <c:pt idx="3">
                  <c:v>1223.020099135321</c:v>
                </c:pt>
                <c:pt idx="4">
                  <c:v>1394.92378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212</xdr:row>
      <xdr:rowOff>0</xdr:rowOff>
    </xdr:from>
    <xdr:to>
      <xdr:col>5</xdr:col>
      <xdr:colOff>247650</xdr:colOff>
      <xdr:row>240</xdr:row>
      <xdr:rowOff>85725</xdr:rowOff>
    </xdr:to>
    <xdr:graphicFrame>
      <xdr:nvGraphicFramePr>
        <xdr:cNvPr id="1" name="Chart 3"/>
        <xdr:cNvGraphicFramePr/>
      </xdr:nvGraphicFramePr>
      <xdr:xfrm>
        <a:off x="0" y="4381500"/>
        <a:ext cx="4848225" cy="4619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5.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9"/>
  <sheetViews>
    <sheetView tabSelected="1" workbookViewId="0" topLeftCell="A1">
      <selection activeCell="A1" sqref="A1"/>
    </sheetView>
  </sheetViews>
  <sheetFormatPr defaultColWidth="9.140625" defaultRowHeight="12.75"/>
  <cols>
    <col min="1" max="1" width="8.7109375" style="2" customWidth="1"/>
    <col min="2" max="2" width="91.421875" style="62" customWidth="1"/>
  </cols>
  <sheetData>
    <row r="1" ht="26.25">
      <c r="A1" s="69" t="s">
        <v>288</v>
      </c>
    </row>
    <row r="2" ht="12.75">
      <c r="B2" s="110" t="s">
        <v>184</v>
      </c>
    </row>
    <row r="3" spans="1:2" s="19" customFormat="1" ht="15">
      <c r="A3" s="68">
        <v>0</v>
      </c>
      <c r="B3" s="63" t="s">
        <v>188</v>
      </c>
    </row>
    <row r="4" ht="51">
      <c r="B4" s="62" t="s">
        <v>189</v>
      </c>
    </row>
    <row r="5" ht="12.75">
      <c r="B5" s="62" t="s">
        <v>224</v>
      </c>
    </row>
    <row r="6" ht="12.75">
      <c r="B6" s="62" t="s">
        <v>228</v>
      </c>
    </row>
    <row r="7" spans="1:2" s="19" customFormat="1" ht="15">
      <c r="A7" s="68">
        <v>1</v>
      </c>
      <c r="B7" s="63" t="s">
        <v>53</v>
      </c>
    </row>
    <row r="8" ht="25.5">
      <c r="B8" s="62" t="s">
        <v>190</v>
      </c>
    </row>
    <row r="9" ht="25.5">
      <c r="B9" s="62" t="s">
        <v>191</v>
      </c>
    </row>
    <row r="10" spans="1:2" s="19" customFormat="1" ht="15">
      <c r="A10" s="68">
        <v>2</v>
      </c>
      <c r="B10" s="63" t="s">
        <v>45</v>
      </c>
    </row>
    <row r="11" ht="25.5">
      <c r="B11" s="62" t="s">
        <v>225</v>
      </c>
    </row>
    <row r="12" ht="25.5">
      <c r="B12" s="62" t="s">
        <v>227</v>
      </c>
    </row>
    <row r="13" spans="1:2" s="19" customFormat="1" ht="15">
      <c r="A13" s="68">
        <v>3</v>
      </c>
      <c r="B13" s="63" t="s">
        <v>16</v>
      </c>
    </row>
    <row r="14" ht="12.75">
      <c r="B14" s="62" t="s">
        <v>229</v>
      </c>
    </row>
    <row r="15" spans="1:2" s="3" customFormat="1" ht="51" customHeight="1">
      <c r="A15" s="10"/>
      <c r="B15" s="75" t="s">
        <v>230</v>
      </c>
    </row>
    <row r="16" ht="63.75">
      <c r="B16" s="62" t="s">
        <v>231</v>
      </c>
    </row>
    <row r="17" ht="25.5">
      <c r="B17" s="62" t="s">
        <v>232</v>
      </c>
    </row>
    <row r="18" ht="38.25">
      <c r="B18" s="62" t="s">
        <v>233</v>
      </c>
    </row>
    <row r="19" spans="1:2" s="19" customFormat="1" ht="15">
      <c r="A19" s="68">
        <v>4</v>
      </c>
      <c r="B19" s="63" t="s">
        <v>234</v>
      </c>
    </row>
    <row r="20" ht="51">
      <c r="B20" s="62" t="s">
        <v>235</v>
      </c>
    </row>
    <row r="21" ht="12.75" customHeight="1">
      <c r="B21" s="62" t="s">
        <v>241</v>
      </c>
    </row>
    <row r="22" ht="25.5">
      <c r="B22" s="62" t="s">
        <v>242</v>
      </c>
    </row>
    <row r="23" ht="25.5">
      <c r="B23" s="62" t="s">
        <v>264</v>
      </c>
    </row>
    <row r="24" ht="25.5">
      <c r="B24" s="62" t="s">
        <v>243</v>
      </c>
    </row>
    <row r="25" ht="38.25">
      <c r="B25" s="62" t="s">
        <v>246</v>
      </c>
    </row>
    <row r="26" ht="25.5">
      <c r="B26" s="62" t="s">
        <v>244</v>
      </c>
    </row>
    <row r="27" spans="1:2" s="19" customFormat="1" ht="15">
      <c r="A27" s="68">
        <v>5</v>
      </c>
      <c r="B27" s="63" t="s">
        <v>245</v>
      </c>
    </row>
    <row r="28" ht="38.25">
      <c r="B28" s="62" t="s">
        <v>247</v>
      </c>
    </row>
    <row r="29" ht="25.5">
      <c r="B29" s="62" t="s">
        <v>248</v>
      </c>
    </row>
    <row r="30" ht="25.5">
      <c r="B30" s="62" t="s">
        <v>249</v>
      </c>
    </row>
    <row r="31" spans="1:2" s="19" customFormat="1" ht="15">
      <c r="A31" s="68">
        <v>6</v>
      </c>
      <c r="B31" s="63" t="s">
        <v>163</v>
      </c>
    </row>
    <row r="32" ht="25.5">
      <c r="B32" s="62" t="s">
        <v>250</v>
      </c>
    </row>
    <row r="33" ht="38.25">
      <c r="B33" s="62" t="s">
        <v>251</v>
      </c>
    </row>
    <row r="34" ht="38.25">
      <c r="B34" s="62" t="s">
        <v>252</v>
      </c>
    </row>
    <row r="35" ht="25.5">
      <c r="B35" s="62" t="s">
        <v>253</v>
      </c>
    </row>
    <row r="36" ht="51">
      <c r="B36" s="62" t="s">
        <v>254</v>
      </c>
    </row>
    <row r="37" spans="1:2" s="19" customFormat="1" ht="15">
      <c r="A37" s="68">
        <v>7</v>
      </c>
      <c r="B37" s="63" t="s">
        <v>162</v>
      </c>
    </row>
    <row r="38" ht="38.25">
      <c r="B38" s="62" t="s">
        <v>255</v>
      </c>
    </row>
    <row r="39" ht="25.5">
      <c r="B39" s="62" t="s">
        <v>256</v>
      </c>
    </row>
    <row r="40" ht="25.5">
      <c r="B40" s="62" t="s">
        <v>257</v>
      </c>
    </row>
    <row r="41" ht="25.5">
      <c r="B41" s="62" t="s">
        <v>258</v>
      </c>
    </row>
    <row r="44" ht="26.25">
      <c r="A44" s="69" t="s">
        <v>259</v>
      </c>
    </row>
    <row r="46" spans="1:2" s="4" customFormat="1" ht="12.75">
      <c r="A46" s="6"/>
      <c r="B46" s="111"/>
    </row>
    <row r="47" spans="1:2" s="4" customFormat="1" ht="12.75">
      <c r="A47" s="6"/>
      <c r="B47" s="111"/>
    </row>
    <row r="48" spans="1:2" s="4" customFormat="1" ht="26.25">
      <c r="A48" s="112" t="s">
        <v>265</v>
      </c>
      <c r="B48" s="111"/>
    </row>
    <row r="49" spans="1:2" s="3" customFormat="1" ht="24.75" customHeight="1">
      <c r="A49" s="115">
        <v>38722</v>
      </c>
      <c r="B49" s="75" t="s">
        <v>266</v>
      </c>
    </row>
    <row r="50" spans="1:2" s="3" customFormat="1" ht="24.75" customHeight="1">
      <c r="A50" s="115">
        <v>38722</v>
      </c>
      <c r="B50" s="75" t="s">
        <v>267</v>
      </c>
    </row>
    <row r="51" spans="1:2" s="3" customFormat="1" ht="24.75" customHeight="1">
      <c r="A51" s="115">
        <v>38722</v>
      </c>
      <c r="B51" s="75" t="s">
        <v>269</v>
      </c>
    </row>
    <row r="52" spans="1:2" s="3" customFormat="1" ht="24.75" customHeight="1">
      <c r="A52" s="115">
        <v>38722</v>
      </c>
      <c r="B52" s="75" t="s">
        <v>270</v>
      </c>
    </row>
    <row r="53" spans="1:2" s="3" customFormat="1" ht="24.75" customHeight="1">
      <c r="A53" s="115">
        <v>38722</v>
      </c>
      <c r="B53" s="75" t="s">
        <v>271</v>
      </c>
    </row>
    <row r="54" spans="1:2" s="3" customFormat="1" ht="24.75" customHeight="1">
      <c r="A54" s="115">
        <v>38722</v>
      </c>
      <c r="B54" s="75" t="s">
        <v>272</v>
      </c>
    </row>
    <row r="55" spans="1:2" s="3" customFormat="1" ht="24.75" customHeight="1">
      <c r="A55" s="115">
        <v>38722</v>
      </c>
      <c r="B55" s="75" t="s">
        <v>273</v>
      </c>
    </row>
    <row r="56" spans="1:2" s="3" customFormat="1" ht="24.75" customHeight="1">
      <c r="A56" s="115">
        <v>38722</v>
      </c>
      <c r="B56" s="75" t="s">
        <v>274</v>
      </c>
    </row>
    <row r="57" spans="1:2" s="3" customFormat="1" ht="24.75" customHeight="1">
      <c r="A57" s="115">
        <v>38722</v>
      </c>
      <c r="B57" s="75" t="s">
        <v>275</v>
      </c>
    </row>
    <row r="58" spans="1:2" s="3" customFormat="1" ht="24.75" customHeight="1">
      <c r="A58" s="115">
        <v>38918</v>
      </c>
      <c r="B58" s="75" t="s">
        <v>284</v>
      </c>
    </row>
    <row r="59" spans="1:2" ht="25.5">
      <c r="A59" s="115">
        <v>38970</v>
      </c>
      <c r="B59" s="62" t="s">
        <v>287</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7"/>
  <sheetViews>
    <sheetView workbookViewId="0" topLeftCell="A1">
      <selection activeCell="D4" sqref="D4"/>
    </sheetView>
  </sheetViews>
  <sheetFormatPr defaultColWidth="9.140625" defaultRowHeight="12.75"/>
  <cols>
    <col min="1" max="1" width="17.28125" style="0" customWidth="1"/>
    <col min="2" max="2" width="10.7109375" style="0" customWidth="1"/>
    <col min="3" max="3" width="1.7109375" style="0" customWidth="1"/>
    <col min="4" max="4" width="10.7109375" style="0" customWidth="1"/>
  </cols>
  <sheetData>
    <row r="1" ht="26.25">
      <c r="A1" s="1" t="s">
        <v>281</v>
      </c>
    </row>
    <row r="3" spans="2:4" ht="87.75">
      <c r="B3" s="114" t="s">
        <v>282</v>
      </c>
      <c r="C3" s="114"/>
      <c r="D3" s="114" t="s">
        <v>283</v>
      </c>
    </row>
    <row r="4" spans="1:4" ht="12.75">
      <c r="A4" s="4" t="s">
        <v>6</v>
      </c>
      <c r="B4" s="113">
        <f>'Warmteverliezen - Totaal'!U8</f>
        <v>1219.6945245274687</v>
      </c>
      <c r="C4" s="113"/>
      <c r="D4" s="113">
        <v>1500</v>
      </c>
    </row>
    <row r="5" spans="1:4" ht="12.75">
      <c r="A5" s="4" t="s">
        <v>0</v>
      </c>
      <c r="B5" s="113">
        <f>'Warmteverliezen - Totaal'!U9</f>
        <v>86.83621715707358</v>
      </c>
      <c r="C5" s="113"/>
      <c r="D5" s="113">
        <v>0</v>
      </c>
    </row>
    <row r="6" spans="1:4" ht="12.75">
      <c r="A6" s="4" t="s">
        <v>10</v>
      </c>
      <c r="B6" s="113">
        <f>'Warmteverliezen - Totaal'!U10</f>
        <v>336.4072487867401</v>
      </c>
      <c r="C6" s="113"/>
      <c r="D6" s="113">
        <v>500</v>
      </c>
    </row>
    <row r="7" spans="1:4" ht="12.75">
      <c r="A7" s="4" t="s">
        <v>4</v>
      </c>
      <c r="B7" s="113">
        <f>'Warmteverliezen - Totaal'!U11</f>
        <v>67.86366859891218</v>
      </c>
      <c r="C7" s="113"/>
      <c r="D7" s="113">
        <v>0</v>
      </c>
    </row>
    <row r="8" spans="1:4" ht="12.75">
      <c r="A8" s="4" t="s">
        <v>3</v>
      </c>
      <c r="B8" s="113">
        <f>'Warmteverliezen - Totaal'!U12</f>
        <v>161.8668880638636</v>
      </c>
      <c r="C8" s="113"/>
      <c r="D8" s="113">
        <v>0</v>
      </c>
    </row>
    <row r="9" spans="1:4" ht="12.75">
      <c r="A9" s="4" t="s">
        <v>134</v>
      </c>
      <c r="B9" s="113">
        <f>'Warmteverliezen - Totaal'!U13</f>
        <v>4044.665477896317</v>
      </c>
      <c r="C9" s="113"/>
      <c r="D9" s="113">
        <v>4000</v>
      </c>
    </row>
    <row r="10" spans="1:4" ht="12.75">
      <c r="A10" s="4" t="s">
        <v>8</v>
      </c>
      <c r="B10" s="113">
        <f>'Warmteverliezen - Totaal'!U14</f>
        <v>1683.8485680940523</v>
      </c>
      <c r="C10" s="113"/>
      <c r="D10" s="113">
        <v>2600</v>
      </c>
    </row>
    <row r="11" spans="1:4" ht="12.75">
      <c r="A11" s="4" t="s">
        <v>5</v>
      </c>
      <c r="B11" s="113">
        <f>'Warmteverliezen - Totaal'!U15</f>
        <v>750.3378422593861</v>
      </c>
      <c r="C11" s="113"/>
      <c r="D11" s="113">
        <v>1300</v>
      </c>
    </row>
    <row r="12" spans="1:4" ht="12.75">
      <c r="A12" s="4" t="s">
        <v>9</v>
      </c>
      <c r="B12" s="113">
        <f>'Warmteverliezen - Totaal'!U16</f>
        <v>644.4757315423274</v>
      </c>
      <c r="C12" s="113"/>
      <c r="D12" s="113">
        <v>1300</v>
      </c>
    </row>
    <row r="13" spans="1:4" ht="12.75">
      <c r="A13" s="4" t="s">
        <v>11</v>
      </c>
      <c r="B13" s="113">
        <f>'Warmteverliezen - Totaal'!U17</f>
        <v>947.2010647476121</v>
      </c>
      <c r="C13" s="113"/>
      <c r="D13" s="113">
        <v>1300</v>
      </c>
    </row>
    <row r="14" spans="1:4" ht="12.75">
      <c r="A14" s="4" t="s">
        <v>1</v>
      </c>
      <c r="B14" s="113">
        <f>'Warmteverliezen - Totaal'!U18</f>
      </c>
      <c r="C14" s="113"/>
      <c r="D14" s="113">
        <v>0</v>
      </c>
    </row>
    <row r="15" spans="1:4" ht="12.75">
      <c r="A15" s="4" t="s">
        <v>2</v>
      </c>
      <c r="B15" s="113">
        <f>'Warmteverliezen - Totaal'!U19</f>
        <v>54.81584264224487</v>
      </c>
      <c r="C15" s="113"/>
      <c r="D15" s="113">
        <v>0</v>
      </c>
    </row>
    <row r="16" spans="1:4" ht="12.75">
      <c r="A16" s="4" t="s">
        <v>7</v>
      </c>
      <c r="B16" s="113">
        <f>'Warmteverliezen - Totaal'!U20</f>
      </c>
      <c r="C16" s="113"/>
      <c r="D16" s="113">
        <v>0</v>
      </c>
    </row>
    <row r="17" spans="1:4" ht="12.75">
      <c r="A17" s="4" t="s">
        <v>12</v>
      </c>
      <c r="B17" s="113">
        <f>'Warmteverliezen - Totaal'!U21</f>
        <v>1279.4237412645016</v>
      </c>
      <c r="C17" s="113"/>
      <c r="D17" s="113">
        <v>0</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140625" defaultRowHeight="12.75"/>
  <cols>
    <col min="1" max="1" width="17.7109375" style="0" customWidth="1"/>
    <col min="2" max="4" width="10.7109375" style="0" customWidth="1"/>
    <col min="5" max="6" width="16.7109375" style="2" customWidth="1"/>
    <col min="7" max="7" width="16.7109375" style="0" customWidth="1"/>
    <col min="8" max="8" width="10.7109375" style="0" hidden="1" customWidth="1"/>
    <col min="9" max="9" width="16.7109375" style="2" customWidth="1"/>
    <col min="10" max="12" width="10.7109375" style="0" customWidth="1"/>
  </cols>
  <sheetData>
    <row r="1" spans="1:11" ht="26.25">
      <c r="A1" s="1" t="s">
        <v>53</v>
      </c>
      <c r="B1" s="1"/>
      <c r="C1" s="1"/>
      <c r="D1" s="1"/>
      <c r="K1" s="24" t="s">
        <v>184</v>
      </c>
    </row>
    <row r="3" spans="1:9" s="3" customFormat="1" ht="38.25">
      <c r="A3" s="17" t="s">
        <v>54</v>
      </c>
      <c r="B3" s="15" t="s">
        <v>13</v>
      </c>
      <c r="C3" s="15" t="s">
        <v>14</v>
      </c>
      <c r="D3" s="15" t="s">
        <v>15</v>
      </c>
      <c r="E3" s="15" t="s">
        <v>52</v>
      </c>
      <c r="F3" s="15" t="s">
        <v>51</v>
      </c>
      <c r="G3" s="15" t="s">
        <v>49</v>
      </c>
      <c r="H3" s="16"/>
      <c r="I3" s="15" t="s">
        <v>50</v>
      </c>
    </row>
    <row r="4" spans="1:9" s="4" customFormat="1" ht="15" customHeight="1">
      <c r="A4" s="4" t="s">
        <v>39</v>
      </c>
      <c r="B4" s="70">
        <v>14.88</v>
      </c>
      <c r="C4" s="70">
        <v>5.07</v>
      </c>
      <c r="D4" s="70">
        <v>2.6</v>
      </c>
      <c r="E4" s="5">
        <f>B4*C4</f>
        <v>75.44160000000001</v>
      </c>
      <c r="F4" s="5">
        <f>E4</f>
        <v>75.44160000000001</v>
      </c>
      <c r="G4" s="5">
        <f>B4*C4*D4</f>
        <v>196.14816000000002</v>
      </c>
      <c r="H4" s="6" t="e">
        <f>IF(#REF!="Y",E4,0)</f>
        <v>#REF!</v>
      </c>
      <c r="I4" s="5">
        <f>G4</f>
        <v>196.14816000000002</v>
      </c>
    </row>
    <row r="5" spans="1:9" s="4" customFormat="1" ht="15" customHeight="1">
      <c r="A5" s="4" t="s">
        <v>0</v>
      </c>
      <c r="B5" s="70">
        <v>1.8</v>
      </c>
      <c r="C5" s="70">
        <v>3.6</v>
      </c>
      <c r="D5" s="70">
        <v>2.6</v>
      </c>
      <c r="E5" s="5">
        <f aca="true" t="shared" si="0" ref="E5:E20">B5*C5</f>
        <v>6.48</v>
      </c>
      <c r="F5" s="5">
        <f>E5+E6</f>
        <v>9.56</v>
      </c>
      <c r="G5" s="5">
        <f aca="true" t="shared" si="1" ref="G5:G19">B5*C5*D5</f>
        <v>16.848000000000003</v>
      </c>
      <c r="H5" s="6" t="e">
        <f>IF(#REF!="Y",E5,0)</f>
        <v>#REF!</v>
      </c>
      <c r="I5" s="5">
        <f>G5+G6</f>
        <v>24.856</v>
      </c>
    </row>
    <row r="6" spans="2:9" s="4" customFormat="1" ht="15" customHeight="1">
      <c r="B6" s="70">
        <v>1.1</v>
      </c>
      <c r="C6" s="70">
        <v>2.8</v>
      </c>
      <c r="D6" s="70">
        <v>2.6</v>
      </c>
      <c r="E6" s="5">
        <f t="shared" si="0"/>
        <v>3.08</v>
      </c>
      <c r="F6" s="5"/>
      <c r="G6" s="5">
        <f t="shared" si="1"/>
        <v>8.008000000000001</v>
      </c>
      <c r="H6" s="6"/>
      <c r="I6" s="6"/>
    </row>
    <row r="7" spans="1:9" s="4" customFormat="1" ht="15" customHeight="1">
      <c r="A7" s="4" t="s">
        <v>1</v>
      </c>
      <c r="B7" s="70">
        <v>1.85</v>
      </c>
      <c r="C7" s="70">
        <v>1.8</v>
      </c>
      <c r="D7" s="70">
        <v>2.6</v>
      </c>
      <c r="E7" s="5">
        <f t="shared" si="0"/>
        <v>3.33</v>
      </c>
      <c r="F7" s="5">
        <f>E7</f>
        <v>3.33</v>
      </c>
      <c r="G7" s="5">
        <f t="shared" si="1"/>
        <v>8.658000000000001</v>
      </c>
      <c r="H7" s="6" t="e">
        <f>IF(#REF!="Y",E7,0)</f>
        <v>#REF!</v>
      </c>
      <c r="I7" s="5">
        <f>G7</f>
        <v>8.658000000000001</v>
      </c>
    </row>
    <row r="8" spans="1:9" s="4" customFormat="1" ht="15" customHeight="1">
      <c r="A8" s="4" t="s">
        <v>2</v>
      </c>
      <c r="B8" s="70">
        <v>1.85</v>
      </c>
      <c r="C8" s="70">
        <v>0.9</v>
      </c>
      <c r="D8" s="70">
        <v>2.6</v>
      </c>
      <c r="E8" s="5">
        <f t="shared" si="0"/>
        <v>1.665</v>
      </c>
      <c r="F8" s="5">
        <f>E8</f>
        <v>1.665</v>
      </c>
      <c r="G8" s="5">
        <f t="shared" si="1"/>
        <v>4.329000000000001</v>
      </c>
      <c r="H8" s="6" t="e">
        <f>IF(#REF!="Y",E8,0)</f>
        <v>#REF!</v>
      </c>
      <c r="I8" s="5">
        <f>G8</f>
        <v>4.329000000000001</v>
      </c>
    </row>
    <row r="9" spans="1:9" s="4" customFormat="1" ht="15" customHeight="1">
      <c r="A9" s="4" t="s">
        <v>3</v>
      </c>
      <c r="B9" s="70">
        <v>3.79</v>
      </c>
      <c r="C9" s="70">
        <v>3.6</v>
      </c>
      <c r="D9" s="70">
        <v>2.6</v>
      </c>
      <c r="E9" s="5">
        <f t="shared" si="0"/>
        <v>13.644</v>
      </c>
      <c r="F9" s="5">
        <f>E9</f>
        <v>13.644</v>
      </c>
      <c r="G9" s="5">
        <f t="shared" si="1"/>
        <v>35.4744</v>
      </c>
      <c r="H9" s="6" t="e">
        <f>IF(#REF!="Y",E9,0)</f>
        <v>#REF!</v>
      </c>
      <c r="I9" s="5">
        <f>G9</f>
        <v>35.4744</v>
      </c>
    </row>
    <row r="10" spans="1:9" s="4" customFormat="1" ht="15" customHeight="1">
      <c r="A10" s="4" t="s">
        <v>4</v>
      </c>
      <c r="B10" s="70">
        <v>6</v>
      </c>
      <c r="C10" s="70">
        <v>5.6</v>
      </c>
      <c r="D10" s="70">
        <v>2.73</v>
      </c>
      <c r="E10" s="5">
        <f t="shared" si="0"/>
        <v>33.599999999999994</v>
      </c>
      <c r="F10" s="5">
        <f>E10</f>
        <v>33.599999999999994</v>
      </c>
      <c r="G10" s="5">
        <f t="shared" si="1"/>
        <v>91.72799999999998</v>
      </c>
      <c r="H10" s="6" t="e">
        <f>IF(#REF!="Y",E10,0)</f>
        <v>#REF!</v>
      </c>
      <c r="I10" s="5">
        <f>G10</f>
        <v>91.72799999999998</v>
      </c>
    </row>
    <row r="11" spans="1:9" s="4" customFormat="1" ht="15" customHeight="1">
      <c r="A11" s="4" t="s">
        <v>5</v>
      </c>
      <c r="B11" s="70">
        <v>4.85</v>
      </c>
      <c r="C11" s="70">
        <v>5.62</v>
      </c>
      <c r="D11" s="70">
        <v>2.5</v>
      </c>
      <c r="E11" s="5">
        <f t="shared" si="0"/>
        <v>27.256999999999998</v>
      </c>
      <c r="F11" s="5">
        <f>E11</f>
        <v>27.256999999999998</v>
      </c>
      <c r="G11" s="5">
        <f t="shared" si="1"/>
        <v>68.1425</v>
      </c>
      <c r="H11" s="6" t="e">
        <f>IF(#REF!="Y",E11,0)</f>
        <v>#REF!</v>
      </c>
      <c r="I11" s="5">
        <f>G11</f>
        <v>68.1425</v>
      </c>
    </row>
    <row r="12" spans="1:9" s="4" customFormat="1" ht="15" customHeight="1">
      <c r="A12" s="4" t="s">
        <v>6</v>
      </c>
      <c r="B12" s="70">
        <v>3.58</v>
      </c>
      <c r="C12" s="70">
        <v>3.6</v>
      </c>
      <c r="D12" s="70">
        <v>2.5</v>
      </c>
      <c r="E12" s="5">
        <f t="shared" si="0"/>
        <v>12.888</v>
      </c>
      <c r="F12" s="5">
        <f>E12+E13</f>
        <v>15.1936</v>
      </c>
      <c r="G12" s="5">
        <f t="shared" si="1"/>
        <v>32.22</v>
      </c>
      <c r="H12" s="6" t="e">
        <f>IF(#REF!="Y",E12,0)</f>
        <v>#REF!</v>
      </c>
      <c r="I12" s="5">
        <f>G12+G13</f>
        <v>37.984</v>
      </c>
    </row>
    <row r="13" spans="2:9" s="4" customFormat="1" ht="15" customHeight="1">
      <c r="B13" s="70">
        <v>1.31</v>
      </c>
      <c r="C13" s="70">
        <v>1.76</v>
      </c>
      <c r="D13" s="70">
        <v>2.5</v>
      </c>
      <c r="E13" s="5">
        <f t="shared" si="0"/>
        <v>2.3056</v>
      </c>
      <c r="F13" s="5"/>
      <c r="G13" s="5">
        <f t="shared" si="1"/>
        <v>5.764</v>
      </c>
      <c r="H13" s="6"/>
      <c r="I13" s="6"/>
    </row>
    <row r="14" spans="1:9" s="4" customFormat="1" ht="15" customHeight="1">
      <c r="A14" s="4" t="s">
        <v>7</v>
      </c>
      <c r="B14" s="70">
        <v>0.9</v>
      </c>
      <c r="C14" s="70">
        <v>1.75</v>
      </c>
      <c r="D14" s="70">
        <v>2.5</v>
      </c>
      <c r="E14" s="5">
        <f t="shared" si="0"/>
        <v>1.575</v>
      </c>
      <c r="F14" s="5">
        <f>E14</f>
        <v>1.575</v>
      </c>
      <c r="G14" s="5">
        <f t="shared" si="1"/>
        <v>3.9375</v>
      </c>
      <c r="H14" s="6" t="e">
        <f>IF(#REF!="Y",E14,0)</f>
        <v>#REF!</v>
      </c>
      <c r="I14" s="5">
        <f>G14</f>
        <v>3.9375</v>
      </c>
    </row>
    <row r="15" spans="1:9" s="4" customFormat="1" ht="15" customHeight="1">
      <c r="A15" s="4" t="s">
        <v>8</v>
      </c>
      <c r="B15" s="70">
        <v>4.9</v>
      </c>
      <c r="C15" s="70">
        <v>8.81</v>
      </c>
      <c r="D15" s="70">
        <v>2.5</v>
      </c>
      <c r="E15" s="5">
        <f t="shared" si="0"/>
        <v>43.169000000000004</v>
      </c>
      <c r="F15" s="5">
        <f>E15+E16</f>
        <v>45.301</v>
      </c>
      <c r="G15" s="5">
        <f t="shared" si="1"/>
        <v>107.92250000000001</v>
      </c>
      <c r="H15" s="6" t="e">
        <f>IF(#REF!="Y",E15,0)</f>
        <v>#REF!</v>
      </c>
      <c r="I15" s="5">
        <f>G15+G16</f>
        <v>113.25250000000001</v>
      </c>
    </row>
    <row r="16" spans="2:9" s="4" customFormat="1" ht="15" customHeight="1">
      <c r="B16" s="70">
        <v>1.64</v>
      </c>
      <c r="C16" s="70">
        <v>1.3</v>
      </c>
      <c r="D16" s="70">
        <v>2.5</v>
      </c>
      <c r="E16" s="5">
        <f t="shared" si="0"/>
        <v>2.132</v>
      </c>
      <c r="F16" s="5"/>
      <c r="G16" s="5">
        <f t="shared" si="1"/>
        <v>5.33</v>
      </c>
      <c r="H16" s="6"/>
      <c r="I16" s="6"/>
    </row>
    <row r="17" spans="1:9" s="4" customFormat="1" ht="15" customHeight="1">
      <c r="A17" s="4" t="s">
        <v>9</v>
      </c>
      <c r="B17" s="70">
        <v>5.03</v>
      </c>
      <c r="C17" s="70">
        <v>4.22</v>
      </c>
      <c r="D17" s="70">
        <v>2.5</v>
      </c>
      <c r="E17" s="5">
        <f t="shared" si="0"/>
        <v>21.2266</v>
      </c>
      <c r="F17" s="5">
        <f>E17</f>
        <v>21.2266</v>
      </c>
      <c r="G17" s="5">
        <f t="shared" si="1"/>
        <v>53.066500000000005</v>
      </c>
      <c r="H17" s="6" t="e">
        <f>IF(#REF!="Y",E17,0)</f>
        <v>#REF!</v>
      </c>
      <c r="I17" s="5">
        <f>G17</f>
        <v>53.066500000000005</v>
      </c>
    </row>
    <row r="18" spans="1:9" s="4" customFormat="1" ht="15" customHeight="1">
      <c r="A18" s="4" t="s">
        <v>10</v>
      </c>
      <c r="B18" s="70">
        <v>3.3</v>
      </c>
      <c r="C18" s="70">
        <v>1.3</v>
      </c>
      <c r="D18" s="70">
        <v>2.5</v>
      </c>
      <c r="E18" s="5">
        <f t="shared" si="0"/>
        <v>4.29</v>
      </c>
      <c r="F18" s="5">
        <f>E18</f>
        <v>4.29</v>
      </c>
      <c r="G18" s="5">
        <f t="shared" si="1"/>
        <v>10.725</v>
      </c>
      <c r="H18" s="6" t="e">
        <f>IF(#REF!="Y",E18,0)</f>
        <v>#REF!</v>
      </c>
      <c r="I18" s="5">
        <f>G18</f>
        <v>10.725</v>
      </c>
    </row>
    <row r="19" spans="1:9" s="4" customFormat="1" ht="15" customHeight="1">
      <c r="A19" s="4" t="s">
        <v>11</v>
      </c>
      <c r="B19" s="70">
        <v>5.03</v>
      </c>
      <c r="C19" s="70">
        <v>3.6</v>
      </c>
      <c r="D19" s="70">
        <v>2.5</v>
      </c>
      <c r="E19" s="5">
        <f t="shared" si="0"/>
        <v>18.108</v>
      </c>
      <c r="F19" s="5">
        <f>E19</f>
        <v>18.108</v>
      </c>
      <c r="G19" s="5">
        <f t="shared" si="1"/>
        <v>45.27</v>
      </c>
      <c r="H19" s="6" t="e">
        <f>IF(#REF!="Y",E19,0)</f>
        <v>#REF!</v>
      </c>
      <c r="I19" s="5">
        <f>G19</f>
        <v>45.27</v>
      </c>
    </row>
    <row r="20" spans="1:9" s="4" customFormat="1" ht="15" customHeight="1">
      <c r="A20" s="4" t="s">
        <v>12</v>
      </c>
      <c r="B20" s="70">
        <v>13.8</v>
      </c>
      <c r="C20" s="70">
        <v>7.8</v>
      </c>
      <c r="D20" s="70">
        <v>3.9</v>
      </c>
      <c r="E20" s="5">
        <f t="shared" si="0"/>
        <v>107.64</v>
      </c>
      <c r="F20" s="5">
        <f>E20</f>
        <v>107.64</v>
      </c>
      <c r="G20" s="5">
        <f>B20*C20*D20/2</f>
        <v>209.898</v>
      </c>
      <c r="H20" s="6" t="e">
        <f>IF(#REF!="Y",E20,0)</f>
        <v>#REF!</v>
      </c>
      <c r="I20" s="5">
        <f>G20</f>
        <v>209.898</v>
      </c>
    </row>
    <row r="22" spans="1:9" s="19" customFormat="1" ht="15">
      <c r="A22" s="18"/>
      <c r="C22" s="80" t="s">
        <v>236</v>
      </c>
      <c r="D22" s="81">
        <f>SUM(F4:F20)</f>
        <v>377.8318</v>
      </c>
      <c r="E22" s="22" t="s">
        <v>239</v>
      </c>
      <c r="F22" s="21"/>
      <c r="G22" s="22"/>
      <c r="H22" s="20"/>
      <c r="I22" s="21"/>
    </row>
    <row r="23" spans="3:7" ht="12.75">
      <c r="C23" s="24"/>
      <c r="G23" s="2"/>
    </row>
    <row r="24" spans="1:5" ht="15">
      <c r="A24" s="18"/>
      <c r="C24" s="80" t="s">
        <v>237</v>
      </c>
      <c r="D24" s="82">
        <f>SUM(I4:I20)</f>
        <v>903.4695600000001</v>
      </c>
      <c r="E24" s="83" t="s">
        <v>238</v>
      </c>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C16" sqref="C16"/>
    </sheetView>
  </sheetViews>
  <sheetFormatPr defaultColWidth="9.140625" defaultRowHeight="12.75"/>
  <cols>
    <col min="1" max="1" width="17.7109375" style="0" customWidth="1"/>
    <col min="2" max="5" width="11.7109375" style="0" customWidth="1"/>
    <col min="6" max="6" width="33.140625" style="0" customWidth="1"/>
  </cols>
  <sheetData>
    <row r="1" ht="26.25">
      <c r="A1" s="1" t="s">
        <v>45</v>
      </c>
    </row>
    <row r="2" s="88" customFormat="1" ht="15" customHeight="1">
      <c r="G2" s="89" t="s">
        <v>184</v>
      </c>
    </row>
    <row r="3" s="88" customFormat="1" ht="15" customHeight="1">
      <c r="G3" s="89"/>
    </row>
    <row r="4" spans="2:3" s="88" customFormat="1" ht="15" customHeight="1">
      <c r="B4" s="89" t="s">
        <v>24</v>
      </c>
      <c r="C4" s="88" t="s">
        <v>25</v>
      </c>
    </row>
    <row r="5" s="88" customFormat="1" ht="15" customHeight="1"/>
    <row r="6" spans="2:3" s="88" customFormat="1" ht="15" customHeight="1">
      <c r="B6" s="89" t="s">
        <v>194</v>
      </c>
      <c r="C6" s="88" t="s">
        <v>22</v>
      </c>
    </row>
    <row r="7" s="88" customFormat="1" ht="15" customHeight="1">
      <c r="B7" s="89"/>
    </row>
    <row r="8" spans="2:3" s="88" customFormat="1" ht="15" customHeight="1">
      <c r="B8" s="89" t="s">
        <v>193</v>
      </c>
      <c r="C8" s="88" t="s">
        <v>21</v>
      </c>
    </row>
    <row r="9" s="4" customFormat="1" ht="15" customHeight="1"/>
    <row r="10" spans="1:6" s="10" customFormat="1" ht="25.5">
      <c r="A10" s="11" t="s">
        <v>20</v>
      </c>
      <c r="B10" s="12" t="s">
        <v>13</v>
      </c>
      <c r="C10" s="12" t="s">
        <v>14</v>
      </c>
      <c r="D10" s="12" t="s">
        <v>15</v>
      </c>
      <c r="E10" s="12" t="s">
        <v>42</v>
      </c>
      <c r="F10" s="11" t="s">
        <v>26</v>
      </c>
    </row>
    <row r="11" spans="1:6" s="4" customFormat="1" ht="15" customHeight="1">
      <c r="A11" s="90" t="s">
        <v>23</v>
      </c>
      <c r="B11" s="91">
        <v>15.6</v>
      </c>
      <c r="C11" s="91">
        <v>5.8</v>
      </c>
      <c r="D11" s="92" t="s">
        <v>43</v>
      </c>
      <c r="E11" s="92">
        <f>B11*C11</f>
        <v>90.47999999999999</v>
      </c>
      <c r="F11" s="90"/>
    </row>
    <row r="12" spans="1:6" s="4" customFormat="1" ht="15" customHeight="1">
      <c r="A12" s="90" t="s">
        <v>27</v>
      </c>
      <c r="B12" s="91">
        <v>2</v>
      </c>
      <c r="C12" s="91">
        <v>3.2</v>
      </c>
      <c r="D12" s="92" t="s">
        <v>43</v>
      </c>
      <c r="E12" s="92">
        <f aca="true" t="shared" si="0" ref="E12:E21">B12*C12</f>
        <v>6.4</v>
      </c>
      <c r="F12" s="90"/>
    </row>
    <row r="13" spans="1:6" s="4" customFormat="1" ht="15" customHeight="1">
      <c r="A13" s="90" t="s">
        <v>28</v>
      </c>
      <c r="B13" s="91">
        <v>2</v>
      </c>
      <c r="C13" s="91">
        <v>3.2</v>
      </c>
      <c r="D13" s="92" t="s">
        <v>43</v>
      </c>
      <c r="E13" s="92">
        <f t="shared" si="0"/>
        <v>6.4</v>
      </c>
      <c r="F13" s="90"/>
    </row>
    <row r="14" spans="1:6" s="4" customFormat="1" ht="15" customHeight="1">
      <c r="A14" s="90" t="s">
        <v>29</v>
      </c>
      <c r="B14" s="91">
        <v>2</v>
      </c>
      <c r="C14" s="91">
        <v>6.5</v>
      </c>
      <c r="D14" s="92" t="s">
        <v>43</v>
      </c>
      <c r="E14" s="92">
        <f t="shared" si="0"/>
        <v>13</v>
      </c>
      <c r="F14" s="90"/>
    </row>
    <row r="15" spans="1:6" s="4" customFormat="1" ht="15" customHeight="1">
      <c r="A15" s="90" t="s">
        <v>30</v>
      </c>
      <c r="B15" s="91">
        <v>10</v>
      </c>
      <c r="C15" s="91">
        <v>5.8</v>
      </c>
      <c r="D15" s="92" t="s">
        <v>43</v>
      </c>
      <c r="E15" s="92">
        <f t="shared" si="0"/>
        <v>58</v>
      </c>
      <c r="F15" s="90"/>
    </row>
    <row r="16" spans="1:6" s="4" customFormat="1" ht="15" customHeight="1">
      <c r="A16" s="90" t="s">
        <v>31</v>
      </c>
      <c r="B16" s="91">
        <v>15.6</v>
      </c>
      <c r="C16" s="91">
        <v>5.8</v>
      </c>
      <c r="D16" s="92" t="s">
        <v>43</v>
      </c>
      <c r="E16" s="92">
        <f t="shared" si="0"/>
        <v>90.47999999999999</v>
      </c>
      <c r="F16" s="90"/>
    </row>
    <row r="17" spans="1:6" s="4" customFormat="1" ht="15" customHeight="1">
      <c r="A17" s="90" t="s">
        <v>32</v>
      </c>
      <c r="B17" s="91">
        <v>10</v>
      </c>
      <c r="C17" s="91">
        <v>5.8</v>
      </c>
      <c r="D17" s="92" t="s">
        <v>43</v>
      </c>
      <c r="E17" s="92">
        <f t="shared" si="0"/>
        <v>58</v>
      </c>
      <c r="F17" s="90"/>
    </row>
    <row r="18" spans="1:6" s="4" customFormat="1" ht="15" customHeight="1">
      <c r="A18" s="90" t="s">
        <v>33</v>
      </c>
      <c r="B18" s="91">
        <v>14.4</v>
      </c>
      <c r="C18" s="91">
        <v>6</v>
      </c>
      <c r="D18" s="92" t="s">
        <v>43</v>
      </c>
      <c r="E18" s="92">
        <f t="shared" si="0"/>
        <v>86.4</v>
      </c>
      <c r="F18" s="90"/>
    </row>
    <row r="19" spans="1:6" s="4" customFormat="1" ht="15" customHeight="1">
      <c r="A19" s="90" t="s">
        <v>34</v>
      </c>
      <c r="B19" s="91">
        <v>14.4</v>
      </c>
      <c r="C19" s="91">
        <v>6</v>
      </c>
      <c r="D19" s="92" t="s">
        <v>43</v>
      </c>
      <c r="E19" s="92">
        <f t="shared" si="0"/>
        <v>86.4</v>
      </c>
      <c r="F19" s="90"/>
    </row>
    <row r="20" spans="1:6" s="4" customFormat="1" ht="15" customHeight="1">
      <c r="A20" s="90" t="s">
        <v>35</v>
      </c>
      <c r="B20" s="91">
        <v>8</v>
      </c>
      <c r="C20" s="91">
        <v>4</v>
      </c>
      <c r="D20" s="92" t="s">
        <v>43</v>
      </c>
      <c r="E20" s="92">
        <f t="shared" si="0"/>
        <v>32</v>
      </c>
      <c r="F20" s="90" t="s">
        <v>37</v>
      </c>
    </row>
    <row r="21" spans="1:6" s="4" customFormat="1" ht="15" customHeight="1">
      <c r="A21" s="90" t="s">
        <v>36</v>
      </c>
      <c r="B21" s="91">
        <v>8</v>
      </c>
      <c r="C21" s="91">
        <v>4</v>
      </c>
      <c r="D21" s="92" t="s">
        <v>43</v>
      </c>
      <c r="E21" s="92">
        <f t="shared" si="0"/>
        <v>32</v>
      </c>
      <c r="F21" s="90" t="s">
        <v>37</v>
      </c>
    </row>
    <row r="22" spans="1:6" s="4" customFormat="1" ht="15" customHeight="1">
      <c r="A22" s="93" t="s">
        <v>226</v>
      </c>
      <c r="B22" s="91"/>
      <c r="C22" s="91"/>
      <c r="D22" s="92" t="s">
        <v>43</v>
      </c>
      <c r="E22" s="91">
        <v>196.55</v>
      </c>
      <c r="F22" s="90"/>
    </row>
    <row r="23" spans="2:5" s="4" customFormat="1" ht="15" customHeight="1">
      <c r="B23" s="5"/>
      <c r="C23" s="5"/>
      <c r="D23" s="5"/>
      <c r="E23" s="5"/>
    </row>
    <row r="24" spans="2:6" s="4" customFormat="1" ht="15" customHeight="1">
      <c r="B24" s="5"/>
      <c r="C24" s="94"/>
      <c r="D24" s="95" t="s">
        <v>192</v>
      </c>
      <c r="E24" s="96">
        <f>SUM(E11:E23)</f>
        <v>756.1099999999999</v>
      </c>
      <c r="F24" s="97" t="s">
        <v>38</v>
      </c>
    </row>
    <row r="25" spans="2:5" s="4" customFormat="1" ht="15" customHeight="1">
      <c r="B25" s="5"/>
      <c r="C25" s="94"/>
      <c r="D25" s="5"/>
      <c r="E25" s="5"/>
    </row>
    <row r="26" spans="2:6" s="3" customFormat="1" ht="25.5">
      <c r="B26" s="13" t="s">
        <v>13</v>
      </c>
      <c r="C26" s="13" t="s">
        <v>14</v>
      </c>
      <c r="D26" s="13" t="s">
        <v>15</v>
      </c>
      <c r="E26" s="13" t="s">
        <v>40</v>
      </c>
      <c r="F26" s="13" t="s">
        <v>26</v>
      </c>
    </row>
    <row r="27" spans="1:6" s="4" customFormat="1" ht="15" customHeight="1">
      <c r="A27" s="4" t="s">
        <v>47</v>
      </c>
      <c r="B27" s="98">
        <v>15.6</v>
      </c>
      <c r="C27" s="98">
        <v>10</v>
      </c>
      <c r="D27" s="98">
        <v>3</v>
      </c>
      <c r="E27" s="99">
        <f>B27*C27*D27</f>
        <v>468</v>
      </c>
      <c r="F27" s="99"/>
    </row>
    <row r="28" spans="1:5" s="4" customFormat="1" ht="15" customHeight="1">
      <c r="A28" s="4" t="s">
        <v>48</v>
      </c>
      <c r="B28" s="100">
        <v>15.6</v>
      </c>
      <c r="C28" s="100">
        <v>10</v>
      </c>
      <c r="D28" s="100">
        <v>2.8</v>
      </c>
      <c r="E28" s="5">
        <f>B28*C28*D28</f>
        <v>436.79999999999995</v>
      </c>
    </row>
    <row r="29" spans="1:5" s="4" customFormat="1" ht="15" customHeight="1">
      <c r="A29" s="4" t="s">
        <v>4</v>
      </c>
      <c r="B29" s="100">
        <v>2</v>
      </c>
      <c r="C29" s="100">
        <v>6.5</v>
      </c>
      <c r="D29" s="100">
        <v>3</v>
      </c>
      <c r="E29" s="5">
        <f>B29*C29*D29</f>
        <v>39</v>
      </c>
    </row>
    <row r="30" spans="1:6" s="4" customFormat="1" ht="15" customHeight="1">
      <c r="A30" s="4" t="s">
        <v>41</v>
      </c>
      <c r="B30" s="100">
        <v>14</v>
      </c>
      <c r="C30" s="100">
        <v>8</v>
      </c>
      <c r="D30" s="100">
        <v>4</v>
      </c>
      <c r="E30" s="5">
        <f>B30*C30*D30/2</f>
        <v>224</v>
      </c>
      <c r="F30" s="4" t="s">
        <v>46</v>
      </c>
    </row>
    <row r="31" spans="2:5" s="4" customFormat="1" ht="15" customHeight="1">
      <c r="B31" s="5"/>
      <c r="C31" s="94"/>
      <c r="D31" s="5"/>
      <c r="E31" s="5"/>
    </row>
    <row r="32" spans="2:6" s="4" customFormat="1" ht="15" customHeight="1">
      <c r="B32" s="5"/>
      <c r="C32" s="94"/>
      <c r="D32" s="95" t="s">
        <v>194</v>
      </c>
      <c r="E32" s="96">
        <f>SUM(E27:E31)</f>
        <v>1167.8</v>
      </c>
      <c r="F32" s="97" t="s">
        <v>44</v>
      </c>
    </row>
    <row r="33" spans="2:5" s="4" customFormat="1" ht="15" customHeight="1">
      <c r="B33" s="5"/>
      <c r="C33" s="5"/>
      <c r="D33" s="5"/>
      <c r="E33" s="5"/>
    </row>
    <row r="34" spans="2:6" s="4" customFormat="1" ht="15" customHeight="1">
      <c r="B34" s="5"/>
      <c r="C34" s="94"/>
      <c r="D34" s="95" t="s">
        <v>195</v>
      </c>
      <c r="E34" s="96">
        <f>E32/E24</f>
        <v>1.54448426816204</v>
      </c>
      <c r="F34" s="97" t="s">
        <v>55</v>
      </c>
    </row>
    <row r="35" spans="2:5" ht="12.75">
      <c r="B35" s="7"/>
      <c r="C35" s="7"/>
      <c r="D35" s="7"/>
      <c r="E35" s="7"/>
    </row>
    <row r="36" spans="2:5" ht="12.75">
      <c r="B36" s="7"/>
      <c r="C36" s="7"/>
      <c r="D36" s="7"/>
      <c r="E36" s="7"/>
    </row>
    <row r="37" spans="2:5" ht="12.75">
      <c r="B37" s="7"/>
      <c r="C37" s="7"/>
      <c r="D37" s="7"/>
      <c r="E37" s="7"/>
    </row>
  </sheetData>
  <printOptions/>
  <pageMargins left="0.3937007874015748" right="0.3937007874015748" top="0.3937007874015748" bottom="0.3937007874015748"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B20" sqref="B20"/>
    </sheetView>
  </sheetViews>
  <sheetFormatPr defaultColWidth="9.140625" defaultRowHeight="12.75"/>
  <cols>
    <col min="1" max="1" width="17.7109375" style="0" customWidth="1"/>
    <col min="2" max="2" width="15.7109375" style="2" customWidth="1"/>
    <col min="3" max="3" width="7.7109375" style="0" customWidth="1"/>
    <col min="4" max="4" width="3.7109375" style="0" customWidth="1"/>
  </cols>
  <sheetData>
    <row r="1" ht="26.25">
      <c r="A1" s="1" t="s">
        <v>16</v>
      </c>
    </row>
    <row r="2" ht="12.75">
      <c r="K2" s="24" t="s">
        <v>184</v>
      </c>
    </row>
    <row r="3" ht="25.5">
      <c r="B3" s="71" t="s">
        <v>19</v>
      </c>
    </row>
    <row r="4" spans="1:6" s="4" customFormat="1" ht="15" customHeight="1">
      <c r="A4" s="4" t="s">
        <v>6</v>
      </c>
      <c r="B4" s="72">
        <v>23</v>
      </c>
      <c r="C4" s="73"/>
      <c r="D4" s="5"/>
      <c r="E4" s="5"/>
      <c r="F4" s="6"/>
    </row>
    <row r="5" spans="1:6" s="4" customFormat="1" ht="15" customHeight="1">
      <c r="A5" s="4" t="s">
        <v>0</v>
      </c>
      <c r="B5" s="72">
        <v>18</v>
      </c>
      <c r="C5" s="6"/>
      <c r="D5" s="5"/>
      <c r="E5" s="5"/>
      <c r="F5" s="6"/>
    </row>
    <row r="6" spans="1:2" s="4" customFormat="1" ht="15" customHeight="1">
      <c r="A6" s="4" t="s">
        <v>18</v>
      </c>
      <c r="B6" s="72">
        <v>-10</v>
      </c>
    </row>
    <row r="7" spans="1:6" s="4" customFormat="1" ht="15" customHeight="1">
      <c r="A7" s="4" t="s">
        <v>10</v>
      </c>
      <c r="B7" s="72">
        <v>23</v>
      </c>
      <c r="C7" s="6"/>
      <c r="D7" s="5"/>
      <c r="E7" s="5"/>
      <c r="F7" s="6"/>
    </row>
    <row r="8" spans="1:6" s="4" customFormat="1" ht="15" customHeight="1">
      <c r="A8" s="4" t="s">
        <v>4</v>
      </c>
      <c r="B8" s="72">
        <v>12.5</v>
      </c>
      <c r="C8" s="6"/>
      <c r="D8" s="5"/>
      <c r="E8" s="5"/>
      <c r="F8" s="6"/>
    </row>
    <row r="9" spans="1:2" s="4" customFormat="1" ht="15" customHeight="1">
      <c r="A9" s="4" t="s">
        <v>17</v>
      </c>
      <c r="B9" s="72">
        <v>5</v>
      </c>
    </row>
    <row r="10" spans="1:6" s="4" customFormat="1" ht="15" customHeight="1">
      <c r="A10" s="4" t="s">
        <v>3</v>
      </c>
      <c r="B10" s="72">
        <v>18</v>
      </c>
      <c r="C10" s="6"/>
      <c r="D10" s="5"/>
      <c r="E10" s="5"/>
      <c r="F10" s="6"/>
    </row>
    <row r="11" spans="1:6" s="4" customFormat="1" ht="15" customHeight="1">
      <c r="A11" s="4" t="s">
        <v>134</v>
      </c>
      <c r="B11" s="72">
        <v>22</v>
      </c>
      <c r="C11" s="6"/>
      <c r="D11" s="5"/>
      <c r="E11" s="5"/>
      <c r="F11" s="6"/>
    </row>
    <row r="12" spans="1:6" s="4" customFormat="1" ht="15" customHeight="1">
      <c r="A12" s="4" t="s">
        <v>8</v>
      </c>
      <c r="B12" s="72">
        <v>20</v>
      </c>
      <c r="C12" s="6"/>
      <c r="D12" s="5"/>
      <c r="E12" s="5"/>
      <c r="F12" s="6"/>
    </row>
    <row r="13" spans="1:6" s="4" customFormat="1" ht="15" customHeight="1">
      <c r="A13" s="4" t="s">
        <v>5</v>
      </c>
      <c r="B13" s="72">
        <v>20</v>
      </c>
      <c r="C13" s="6"/>
      <c r="D13" s="5"/>
      <c r="E13" s="5"/>
      <c r="F13" s="6"/>
    </row>
    <row r="14" spans="1:6" s="4" customFormat="1" ht="15" customHeight="1">
      <c r="A14" s="4" t="s">
        <v>9</v>
      </c>
      <c r="B14" s="72">
        <v>20</v>
      </c>
      <c r="C14" s="6"/>
      <c r="D14" s="5"/>
      <c r="E14" s="5"/>
      <c r="F14" s="6"/>
    </row>
    <row r="15" spans="1:6" s="4" customFormat="1" ht="15" customHeight="1">
      <c r="A15" s="4" t="s">
        <v>11</v>
      </c>
      <c r="B15" s="72">
        <v>20</v>
      </c>
      <c r="C15" s="6"/>
      <c r="D15" s="5"/>
      <c r="E15" s="5"/>
      <c r="F15" s="6"/>
    </row>
    <row r="16" spans="1:6" s="4" customFormat="1" ht="15" customHeight="1">
      <c r="A16" s="4" t="s">
        <v>1</v>
      </c>
      <c r="B16" s="72">
        <v>18</v>
      </c>
      <c r="C16" s="6"/>
      <c r="D16" s="5"/>
      <c r="E16" s="5"/>
      <c r="F16" s="6"/>
    </row>
    <row r="17" spans="1:6" s="4" customFormat="1" ht="15" customHeight="1">
      <c r="A17" s="4" t="s">
        <v>2</v>
      </c>
      <c r="B17" s="72">
        <v>18</v>
      </c>
      <c r="C17" s="6"/>
      <c r="D17" s="5"/>
      <c r="E17" s="5"/>
      <c r="F17" s="6"/>
    </row>
    <row r="18" spans="1:6" s="4" customFormat="1" ht="15" customHeight="1">
      <c r="A18" s="4" t="s">
        <v>7</v>
      </c>
      <c r="B18" s="72">
        <v>18</v>
      </c>
      <c r="C18" s="6"/>
      <c r="D18" s="5"/>
      <c r="E18" s="5"/>
      <c r="F18" s="6"/>
    </row>
    <row r="19" spans="1:6" s="4" customFormat="1" ht="15" customHeight="1">
      <c r="A19" s="4" t="s">
        <v>12</v>
      </c>
      <c r="B19" s="72">
        <v>17</v>
      </c>
      <c r="C19" s="6"/>
      <c r="D19" s="5"/>
      <c r="E19" s="5"/>
      <c r="F19" s="6"/>
    </row>
    <row r="20" s="4" customFormat="1" ht="15" customHeight="1">
      <c r="B20" s="6"/>
    </row>
    <row r="21" s="4" customFormat="1" ht="15" customHeight="1">
      <c r="B21" s="6"/>
    </row>
    <row r="22" spans="2:5" s="4" customFormat="1" ht="15" customHeight="1">
      <c r="B22" s="44" t="s">
        <v>85</v>
      </c>
      <c r="C22" s="101">
        <v>17</v>
      </c>
      <c r="D22" s="4" t="s">
        <v>86</v>
      </c>
      <c r="E22" s="4" t="s">
        <v>87</v>
      </c>
    </row>
    <row r="23" s="4" customFormat="1" ht="15" customHeight="1">
      <c r="B23" s="44"/>
    </row>
    <row r="24" spans="2:5" s="4" customFormat="1" ht="15" customHeight="1">
      <c r="B24" s="44" t="s">
        <v>109</v>
      </c>
      <c r="C24" s="101">
        <v>0.33</v>
      </c>
      <c r="E24" s="4" t="s">
        <v>88</v>
      </c>
    </row>
    <row r="25" spans="2:5" s="4" customFormat="1" ht="15" customHeight="1">
      <c r="B25" s="6"/>
      <c r="C25" s="101">
        <v>0.67</v>
      </c>
      <c r="E25" s="4" t="s">
        <v>90</v>
      </c>
    </row>
    <row r="26" spans="2:5" s="4" customFormat="1" ht="15" customHeight="1">
      <c r="B26" s="6"/>
      <c r="C26" s="101">
        <v>1</v>
      </c>
      <c r="E26" s="4" t="s">
        <v>89</v>
      </c>
    </row>
    <row r="27" s="4" customFormat="1" ht="15" customHeight="1">
      <c r="B27" s="6"/>
    </row>
    <row r="28" spans="2:5" s="4" customFormat="1" ht="15" customHeight="1">
      <c r="B28" s="44" t="s">
        <v>110</v>
      </c>
      <c r="C28" s="101">
        <v>40</v>
      </c>
      <c r="D28" s="4" t="s">
        <v>86</v>
      </c>
      <c r="E28" s="4" t="s">
        <v>268</v>
      </c>
    </row>
    <row r="29" s="4" customFormat="1" ht="15" customHeight="1"/>
    <row r="30" spans="2:5" s="4" customFormat="1" ht="15" customHeight="1">
      <c r="B30" s="44" t="s">
        <v>111</v>
      </c>
      <c r="C30" s="102">
        <f>(C28+10)/(B4+10)</f>
        <v>1.5151515151515151</v>
      </c>
      <c r="D30" s="4" t="s">
        <v>197</v>
      </c>
      <c r="E30" s="4" t="s">
        <v>113</v>
      </c>
    </row>
    <row r="31" s="4" customFormat="1" ht="15" customHeight="1"/>
    <row r="32" ht="12.75">
      <c r="B32"/>
    </row>
    <row r="33" ht="12.75">
      <c r="B33"/>
    </row>
    <row r="34" ht="12.75">
      <c r="B34"/>
    </row>
    <row r="35" ht="12.75">
      <c r="B35"/>
    </row>
    <row r="36" ht="12.75">
      <c r="B36"/>
    </row>
    <row r="37" spans="1:3" ht="12.75">
      <c r="A37" s="23"/>
      <c r="B37"/>
      <c r="C37" s="23"/>
    </row>
    <row r="38" spans="1:3" ht="12.75">
      <c r="A38" s="23"/>
      <c r="B38"/>
      <c r="C38" s="23"/>
    </row>
    <row r="39" spans="1:3" ht="12.75">
      <c r="A39" s="23"/>
      <c r="B39"/>
      <c r="C39" s="23"/>
    </row>
    <row r="40" ht="12.75">
      <c r="B40"/>
    </row>
  </sheetData>
  <printOptions/>
  <pageMargins left="0.3937007874015748" right="0.3937007874015748" top="0.3937007874015748" bottom="0.3937007874015748" header="0.5118110236220472" footer="0.5118110236220472"/>
  <pageSetup fitToHeight="1" fitToWidth="1" horizontalDpi="600" verticalDpi="600" orientation="portrait" paperSize="9" scale="89" r:id="rId3"/>
  <legacyDrawing r:id="rId2"/>
  <oleObjects>
    <oleObject progId="Equation.3" shapeId="87965" r:id="rId1"/>
  </oleObjects>
</worksheet>
</file>

<file path=xl/worksheets/sheet5.xml><?xml version="1.0" encoding="utf-8"?>
<worksheet xmlns="http://schemas.openxmlformats.org/spreadsheetml/2006/main" xmlns:r="http://schemas.openxmlformats.org/officeDocument/2006/relationships">
  <sheetPr>
    <pageSetUpPr fitToPage="1"/>
  </sheetPr>
  <dimension ref="A1:AB29"/>
  <sheetViews>
    <sheetView workbookViewId="0" topLeftCell="A1">
      <pane xSplit="3" ySplit="9" topLeftCell="D10" activePane="bottomRight" state="frozen"/>
      <selection pane="topLeft" activeCell="A1" sqref="A1"/>
      <selection pane="topRight" activeCell="D1" sqref="D1"/>
      <selection pane="bottomLeft" activeCell="A8" sqref="A8"/>
      <selection pane="bottomRight" activeCell="D12" sqref="D12"/>
    </sheetView>
  </sheetViews>
  <sheetFormatPr defaultColWidth="9.140625" defaultRowHeight="12.75"/>
  <cols>
    <col min="2" max="2" width="41.00390625" style="0" bestFit="1" customWidth="1"/>
  </cols>
  <sheetData>
    <row r="1" ht="26.25">
      <c r="A1" s="1" t="s">
        <v>107</v>
      </c>
    </row>
    <row r="2" spans="1:28" ht="15" customHeight="1">
      <c r="A2" s="1"/>
      <c r="AB2" s="24" t="s">
        <v>184</v>
      </c>
    </row>
    <row r="3" spans="1:28" s="67" customFormat="1" ht="161.25" customHeight="1">
      <c r="A3" s="64"/>
      <c r="B3" s="65"/>
      <c r="C3" s="66"/>
      <c r="D3" s="66" t="s">
        <v>108</v>
      </c>
      <c r="E3" s="66" t="s">
        <v>112</v>
      </c>
      <c r="F3" s="66" t="s">
        <v>260</v>
      </c>
      <c r="G3" s="66" t="s">
        <v>261</v>
      </c>
      <c r="H3" s="66" t="s">
        <v>262</v>
      </c>
      <c r="I3" s="66" t="s">
        <v>263</v>
      </c>
      <c r="J3" s="66" t="s">
        <v>81</v>
      </c>
      <c r="K3" s="66" t="s">
        <v>100</v>
      </c>
      <c r="L3" s="66" t="s">
        <v>285</v>
      </c>
      <c r="M3" s="66" t="s">
        <v>84</v>
      </c>
      <c r="N3" s="66" t="s">
        <v>101</v>
      </c>
      <c r="O3" s="66" t="s">
        <v>82</v>
      </c>
      <c r="P3" s="66" t="s">
        <v>83</v>
      </c>
      <c r="Q3" s="66" t="s">
        <v>91</v>
      </c>
      <c r="R3" s="66" t="s">
        <v>286</v>
      </c>
      <c r="S3" s="66" t="s">
        <v>95</v>
      </c>
      <c r="T3" s="66" t="s">
        <v>92</v>
      </c>
      <c r="U3" s="66" t="s">
        <v>93</v>
      </c>
      <c r="V3" s="66" t="s">
        <v>97</v>
      </c>
      <c r="W3" s="66" t="s">
        <v>96</v>
      </c>
      <c r="X3" s="66" t="s">
        <v>98</v>
      </c>
      <c r="Y3" s="66" t="s">
        <v>94</v>
      </c>
      <c r="Z3" s="66" t="s">
        <v>135</v>
      </c>
      <c r="AA3" s="66" t="s">
        <v>99</v>
      </c>
      <c r="AB3" s="66" t="s">
        <v>75</v>
      </c>
    </row>
    <row r="4" spans="1:28" s="4" customFormat="1" ht="15" customHeight="1">
      <c r="A4" s="4" t="s">
        <v>102</v>
      </c>
      <c r="C4" s="6" t="s">
        <v>55</v>
      </c>
      <c r="D4" s="6" t="s">
        <v>43</v>
      </c>
      <c r="E4" s="6" t="s">
        <v>43</v>
      </c>
      <c r="F4" s="5" t="s">
        <v>43</v>
      </c>
      <c r="G4" s="5" t="s">
        <v>43</v>
      </c>
      <c r="H4" s="5" t="s">
        <v>43</v>
      </c>
      <c r="I4" s="5" t="s">
        <v>43</v>
      </c>
      <c r="J4" s="103">
        <v>0.09</v>
      </c>
      <c r="K4" s="103">
        <v>0.11</v>
      </c>
      <c r="L4" s="103">
        <v>0.08</v>
      </c>
      <c r="M4" s="103">
        <v>0.18</v>
      </c>
      <c r="N4" s="103">
        <v>0.08</v>
      </c>
      <c r="O4" s="103">
        <v>0.14</v>
      </c>
      <c r="P4" s="103">
        <v>0.09</v>
      </c>
      <c r="Q4" s="103">
        <v>0.3</v>
      </c>
      <c r="R4" s="103">
        <v>0.18</v>
      </c>
      <c r="S4" s="103">
        <v>0.06</v>
      </c>
      <c r="T4" s="103">
        <v>0.07</v>
      </c>
      <c r="U4" s="103">
        <v>0.09</v>
      </c>
      <c r="V4" s="103">
        <v>0.02</v>
      </c>
      <c r="W4" s="103">
        <v>0.01</v>
      </c>
      <c r="X4" s="103">
        <v>0.017</v>
      </c>
      <c r="Y4" s="103">
        <v>0.015</v>
      </c>
      <c r="Z4" s="6" t="s">
        <v>43</v>
      </c>
      <c r="AA4" s="104">
        <v>0.045</v>
      </c>
      <c r="AB4" s="105"/>
    </row>
    <row r="5" spans="1:28" s="4" customFormat="1" ht="15" customHeight="1">
      <c r="A5" s="4" t="s">
        <v>56</v>
      </c>
      <c r="B5" s="84" t="s">
        <v>104</v>
      </c>
      <c r="C5" s="6" t="s">
        <v>57</v>
      </c>
      <c r="D5" s="6" t="s">
        <v>43</v>
      </c>
      <c r="E5" s="6" t="s">
        <v>43</v>
      </c>
      <c r="F5" s="5" t="s">
        <v>43</v>
      </c>
      <c r="G5" s="5" t="s">
        <v>43</v>
      </c>
      <c r="H5" s="5" t="s">
        <v>43</v>
      </c>
      <c r="I5" s="5" t="s">
        <v>43</v>
      </c>
      <c r="J5" s="103">
        <v>1.053</v>
      </c>
      <c r="K5" s="103">
        <v>0.029</v>
      </c>
      <c r="L5" s="103">
        <v>0.036</v>
      </c>
      <c r="M5" s="103">
        <v>0.036</v>
      </c>
      <c r="N5" s="103">
        <v>0.025</v>
      </c>
      <c r="O5" s="103">
        <v>0.3</v>
      </c>
      <c r="P5" s="103">
        <v>0.3</v>
      </c>
      <c r="Q5" s="103">
        <v>2.35</v>
      </c>
      <c r="R5" s="103">
        <v>2.35</v>
      </c>
      <c r="S5" s="103">
        <v>0.025</v>
      </c>
      <c r="T5" s="103">
        <v>2.35</v>
      </c>
      <c r="U5" s="103">
        <v>2.35</v>
      </c>
      <c r="V5" s="103">
        <v>2</v>
      </c>
      <c r="W5" s="103">
        <v>2</v>
      </c>
      <c r="X5" s="103">
        <v>0.15</v>
      </c>
      <c r="Y5" s="103">
        <v>0.5</v>
      </c>
      <c r="Z5" s="6" t="s">
        <v>43</v>
      </c>
      <c r="AA5" s="104">
        <v>0.025</v>
      </c>
      <c r="AB5" s="105"/>
    </row>
    <row r="6" spans="1:28" s="4" customFormat="1" ht="15" customHeight="1">
      <c r="A6" s="4" t="s">
        <v>58</v>
      </c>
      <c r="B6" s="84" t="s">
        <v>105</v>
      </c>
      <c r="C6" s="6" t="s">
        <v>59</v>
      </c>
      <c r="D6" s="6" t="s">
        <v>43</v>
      </c>
      <c r="E6" s="6" t="s">
        <v>43</v>
      </c>
      <c r="F6" s="103">
        <v>0.125</v>
      </c>
      <c r="G6" s="103">
        <v>0.043478261</v>
      </c>
      <c r="H6" s="103">
        <v>0.166666667</v>
      </c>
      <c r="I6" s="103">
        <v>0.125</v>
      </c>
      <c r="J6" s="106">
        <f aca="true" t="shared" si="0" ref="J6:Y6">+J4/J5</f>
        <v>0.08547008547008547</v>
      </c>
      <c r="K6" s="106">
        <f t="shared" si="0"/>
        <v>3.793103448275862</v>
      </c>
      <c r="L6" s="106">
        <f t="shared" si="0"/>
        <v>2.2222222222222223</v>
      </c>
      <c r="M6" s="106">
        <f t="shared" si="0"/>
        <v>5</v>
      </c>
      <c r="N6" s="106">
        <f t="shared" si="0"/>
        <v>3.1999999999999997</v>
      </c>
      <c r="O6" s="106">
        <f t="shared" si="0"/>
        <v>0.46666666666666673</v>
      </c>
      <c r="P6" s="106">
        <f t="shared" si="0"/>
        <v>0.3</v>
      </c>
      <c r="Q6" s="106">
        <f t="shared" si="0"/>
        <v>0.1276595744680851</v>
      </c>
      <c r="R6" s="106">
        <f t="shared" si="0"/>
        <v>0.07659574468085106</v>
      </c>
      <c r="S6" s="106">
        <f t="shared" si="0"/>
        <v>2.4</v>
      </c>
      <c r="T6" s="106">
        <f>+T4/T5</f>
        <v>0.029787234042553193</v>
      </c>
      <c r="U6" s="106">
        <f>+U4/U5</f>
        <v>0.03829787234042553</v>
      </c>
      <c r="V6" s="106">
        <f t="shared" si="0"/>
        <v>0.01</v>
      </c>
      <c r="W6" s="106">
        <f t="shared" si="0"/>
        <v>0.005</v>
      </c>
      <c r="X6" s="106">
        <f t="shared" si="0"/>
        <v>0.11333333333333334</v>
      </c>
      <c r="Y6" s="106">
        <f t="shared" si="0"/>
        <v>0.03</v>
      </c>
      <c r="Z6" s="105">
        <f>1/Z7</f>
        <v>0.5763688760806917</v>
      </c>
      <c r="AA6" s="105">
        <f>AA4/AA5</f>
        <v>1.7999999999999998</v>
      </c>
      <c r="AB6" s="107">
        <f>1/AB7</f>
        <v>0.5555555555555556</v>
      </c>
    </row>
    <row r="7" spans="1:28" s="4" customFormat="1" ht="15" customHeight="1">
      <c r="A7" s="4" t="s">
        <v>103</v>
      </c>
      <c r="B7" s="84" t="s">
        <v>106</v>
      </c>
      <c r="C7" s="6" t="s">
        <v>61</v>
      </c>
      <c r="D7" s="6" t="s">
        <v>43</v>
      </c>
      <c r="E7" s="6" t="s">
        <v>43</v>
      </c>
      <c r="F7" s="106">
        <f>1/F6</f>
        <v>8</v>
      </c>
      <c r="G7" s="106">
        <f>1/G6</f>
        <v>22.999999931</v>
      </c>
      <c r="H7" s="106">
        <f>1/H6</f>
        <v>5.999999988000001</v>
      </c>
      <c r="I7" s="106">
        <f>1/I6</f>
        <v>8</v>
      </c>
      <c r="J7" s="106">
        <f aca="true" t="shared" si="1" ref="J7:Y7">1/J6</f>
        <v>11.7</v>
      </c>
      <c r="K7" s="106">
        <f t="shared" si="1"/>
        <v>0.2636363636363636</v>
      </c>
      <c r="L7" s="106">
        <f t="shared" si="1"/>
        <v>0.44999999999999996</v>
      </c>
      <c r="M7" s="106">
        <f t="shared" si="1"/>
        <v>0.2</v>
      </c>
      <c r="N7" s="106">
        <f t="shared" si="1"/>
        <v>0.3125</v>
      </c>
      <c r="O7" s="106">
        <f t="shared" si="1"/>
        <v>2.1428571428571423</v>
      </c>
      <c r="P7" s="106">
        <f t="shared" si="1"/>
        <v>3.3333333333333335</v>
      </c>
      <c r="Q7" s="106">
        <f t="shared" si="1"/>
        <v>7.833333333333334</v>
      </c>
      <c r="R7" s="106">
        <f t="shared" si="1"/>
        <v>13.055555555555555</v>
      </c>
      <c r="S7" s="106">
        <f t="shared" si="1"/>
        <v>0.4166666666666667</v>
      </c>
      <c r="T7" s="106">
        <f>1/T6</f>
        <v>33.57142857142857</v>
      </c>
      <c r="U7" s="106">
        <f>1/U6</f>
        <v>26.11111111111111</v>
      </c>
      <c r="V7" s="106">
        <f t="shared" si="1"/>
        <v>100</v>
      </c>
      <c r="W7" s="106">
        <f t="shared" si="1"/>
        <v>200</v>
      </c>
      <c r="X7" s="106">
        <f t="shared" si="1"/>
        <v>8.823529411764705</v>
      </c>
      <c r="Y7" s="106">
        <f t="shared" si="1"/>
        <v>33.333333333333336</v>
      </c>
      <c r="Z7" s="104">
        <v>1.735</v>
      </c>
      <c r="AA7" s="105">
        <f>1/AA6</f>
        <v>0.5555555555555556</v>
      </c>
      <c r="AB7" s="104">
        <v>1.8</v>
      </c>
    </row>
    <row r="8" spans="3:28" s="4" customFormat="1" ht="15" customHeight="1">
      <c r="C8" s="86"/>
      <c r="D8" s="86"/>
      <c r="E8" s="86"/>
      <c r="F8" s="86"/>
      <c r="G8" s="86"/>
      <c r="H8" s="86"/>
      <c r="I8" s="86"/>
      <c r="J8" s="86"/>
      <c r="K8" s="86"/>
      <c r="L8" s="86"/>
      <c r="M8" s="86"/>
      <c r="N8" s="86"/>
      <c r="O8" s="86"/>
      <c r="P8" s="86"/>
      <c r="Q8" s="86"/>
      <c r="R8" s="86"/>
      <c r="S8" s="86"/>
      <c r="T8" s="86"/>
      <c r="U8" s="86"/>
      <c r="V8" s="86"/>
      <c r="W8" s="86"/>
      <c r="X8" s="86"/>
      <c r="Y8" s="86"/>
      <c r="Z8" s="86"/>
      <c r="AA8" s="86"/>
      <c r="AB8" s="86"/>
    </row>
    <row r="9" spans="2:28" s="4" customFormat="1" ht="15" customHeight="1">
      <c r="B9" s="4" t="s">
        <v>240</v>
      </c>
      <c r="C9" s="5" t="s">
        <v>60</v>
      </c>
      <c r="D9" s="5"/>
      <c r="E9" s="5"/>
      <c r="F9" s="86"/>
      <c r="G9" s="86"/>
      <c r="H9" s="86"/>
      <c r="I9" s="86"/>
      <c r="J9" s="86"/>
      <c r="K9" s="86"/>
      <c r="L9" s="86"/>
      <c r="M9" s="86"/>
      <c r="N9" s="86"/>
      <c r="O9" s="86"/>
      <c r="P9" s="86"/>
      <c r="Q9" s="86"/>
      <c r="R9" s="86"/>
      <c r="S9" s="86"/>
      <c r="T9" s="86"/>
      <c r="U9" s="86"/>
      <c r="V9" s="86"/>
      <c r="W9" s="86"/>
      <c r="X9" s="86"/>
      <c r="Y9" s="86"/>
      <c r="Z9" s="86"/>
      <c r="AA9" s="86"/>
      <c r="AB9" s="86"/>
    </row>
    <row r="10" spans="2:28" s="4" customFormat="1" ht="15" customHeight="1">
      <c r="B10" s="4" t="s">
        <v>63</v>
      </c>
      <c r="C10" s="5">
        <f>D10*E10*(1/SUMPRODUCT(F10:IV10,F$6:IV$6))</f>
        <v>0.1828746335799458</v>
      </c>
      <c r="D10" s="5">
        <f>Temperaturen!C24</f>
        <v>0.33</v>
      </c>
      <c r="E10" s="5">
        <f>Temperaturen!C30</f>
        <v>1.5151515151515151</v>
      </c>
      <c r="F10" s="108"/>
      <c r="G10" s="108"/>
      <c r="H10" s="108">
        <v>1</v>
      </c>
      <c r="I10" s="108"/>
      <c r="J10" s="108"/>
      <c r="K10" s="108"/>
      <c r="L10" s="108"/>
      <c r="M10" s="108"/>
      <c r="N10" s="108"/>
      <c r="O10" s="108"/>
      <c r="P10" s="108"/>
      <c r="Q10" s="108">
        <v>1</v>
      </c>
      <c r="R10" s="108"/>
      <c r="S10" s="108">
        <v>1</v>
      </c>
      <c r="T10" s="108">
        <v>1</v>
      </c>
      <c r="U10" s="108"/>
      <c r="V10" s="108">
        <v>1</v>
      </c>
      <c r="W10" s="108"/>
      <c r="X10" s="108"/>
      <c r="Y10" s="108"/>
      <c r="Z10" s="108"/>
      <c r="AA10" s="108"/>
      <c r="AB10" s="108"/>
    </row>
    <row r="11" spans="2:28" s="4" customFormat="1" ht="15" customHeight="1">
      <c r="B11" s="4" t="s">
        <v>64</v>
      </c>
      <c r="C11" s="5">
        <f>D11*E11*(1/SUMPRODUCT(F11:IV11,F$6:IV$6))</f>
        <v>1.002693674234962</v>
      </c>
      <c r="D11" s="5">
        <f>Temperaturen!C24</f>
        <v>0.33</v>
      </c>
      <c r="E11" s="5">
        <v>1</v>
      </c>
      <c r="F11" s="108"/>
      <c r="G11" s="108"/>
      <c r="H11" s="108">
        <v>1</v>
      </c>
      <c r="I11" s="108"/>
      <c r="J11" s="108"/>
      <c r="K11" s="108"/>
      <c r="L11" s="108"/>
      <c r="M11" s="108"/>
      <c r="N11" s="108"/>
      <c r="O11" s="108"/>
      <c r="P11" s="108"/>
      <c r="Q11" s="108">
        <v>1</v>
      </c>
      <c r="R11" s="108"/>
      <c r="S11" s="108"/>
      <c r="T11" s="108">
        <v>1</v>
      </c>
      <c r="U11" s="108"/>
      <c r="V11" s="108"/>
      <c r="W11" s="108">
        <v>1</v>
      </c>
      <c r="X11" s="108"/>
      <c r="Y11" s="108"/>
      <c r="Z11" s="108"/>
      <c r="AA11" s="108"/>
      <c r="AB11" s="108"/>
    </row>
    <row r="12" spans="2:28" s="4" customFormat="1" ht="15" customHeight="1">
      <c r="B12" s="4" t="s">
        <v>65</v>
      </c>
      <c r="C12" s="5">
        <f>D12*E12*(1/SUMPRODUCT(F12:IV12,F$6:IV$6))</f>
        <v>1.9676248953391011</v>
      </c>
      <c r="D12" s="5">
        <f>Temperaturen!C$26</f>
        <v>1</v>
      </c>
      <c r="E12" s="5">
        <v>1</v>
      </c>
      <c r="F12" s="108"/>
      <c r="G12" s="108"/>
      <c r="H12" s="108"/>
      <c r="I12" s="108">
        <v>2</v>
      </c>
      <c r="J12" s="108"/>
      <c r="K12" s="108"/>
      <c r="L12" s="108"/>
      <c r="M12" s="108"/>
      <c r="N12" s="108"/>
      <c r="O12" s="108"/>
      <c r="P12" s="108"/>
      <c r="Q12" s="108"/>
      <c r="R12" s="108">
        <v>1</v>
      </c>
      <c r="S12" s="108"/>
      <c r="T12" s="108"/>
      <c r="U12" s="108">
        <v>1</v>
      </c>
      <c r="V12" s="108"/>
      <c r="W12" s="108"/>
      <c r="X12" s="108">
        <v>1</v>
      </c>
      <c r="Y12" s="108">
        <v>1</v>
      </c>
      <c r="Z12" s="108"/>
      <c r="AA12" s="108"/>
      <c r="AB12" s="108"/>
    </row>
    <row r="13" spans="2:28" s="4" customFormat="1" ht="15" customHeight="1">
      <c r="B13" s="4" t="s">
        <v>66</v>
      </c>
      <c r="C13" s="5">
        <f>D13*E13*(1/SUMPRODUCT(F13:IV13,F$6:IV$6))</f>
        <v>2.0910573928518463</v>
      </c>
      <c r="D13" s="5">
        <f>Temperaturen!C$26</f>
        <v>1</v>
      </c>
      <c r="E13" s="5">
        <v>1</v>
      </c>
      <c r="F13" s="108"/>
      <c r="G13" s="108"/>
      <c r="H13" s="108"/>
      <c r="I13" s="108">
        <v>2</v>
      </c>
      <c r="J13" s="108"/>
      <c r="K13" s="108"/>
      <c r="L13" s="108"/>
      <c r="M13" s="108"/>
      <c r="N13" s="108"/>
      <c r="O13" s="108"/>
      <c r="P13" s="108"/>
      <c r="Q13" s="108"/>
      <c r="R13" s="108">
        <v>1</v>
      </c>
      <c r="S13" s="108"/>
      <c r="T13" s="108"/>
      <c r="U13" s="108">
        <v>1</v>
      </c>
      <c r="V13" s="108"/>
      <c r="W13" s="108"/>
      <c r="X13" s="108">
        <v>1</v>
      </c>
      <c r="Y13" s="108"/>
      <c r="Z13" s="108"/>
      <c r="AA13" s="108"/>
      <c r="AB13" s="108"/>
    </row>
    <row r="14" spans="2:28" s="4" customFormat="1" ht="15" customHeight="1">
      <c r="B14" s="4" t="s">
        <v>67</v>
      </c>
      <c r="C14" s="5">
        <f>D14*E14*(1/SUMPRODUCT(F14:IV14,F$6:IV$6))</f>
        <v>0.29026952638782855</v>
      </c>
      <c r="D14" s="5">
        <f>Temperaturen!C$26</f>
        <v>1</v>
      </c>
      <c r="E14" s="5">
        <v>1</v>
      </c>
      <c r="F14" s="108"/>
      <c r="G14" s="108">
        <v>1</v>
      </c>
      <c r="H14" s="108"/>
      <c r="I14" s="108">
        <v>1</v>
      </c>
      <c r="J14" s="108"/>
      <c r="K14" s="108"/>
      <c r="L14" s="108"/>
      <c r="M14" s="108"/>
      <c r="N14" s="108">
        <v>1</v>
      </c>
      <c r="O14" s="108"/>
      <c r="P14" s="108"/>
      <c r="Q14" s="108"/>
      <c r="R14" s="108">
        <v>1</v>
      </c>
      <c r="S14" s="108"/>
      <c r="T14" s="108"/>
      <c r="U14" s="108"/>
      <c r="V14" s="108"/>
      <c r="W14" s="108"/>
      <c r="X14" s="108"/>
      <c r="Y14" s="108"/>
      <c r="Z14" s="108"/>
      <c r="AA14" s="108"/>
      <c r="AB14" s="108"/>
    </row>
    <row r="15" spans="2:28" s="4" customFormat="1" ht="15" customHeight="1">
      <c r="B15" s="4" t="s">
        <v>62</v>
      </c>
      <c r="C15" s="5">
        <f>D15*E15*(1/SUMPRODUCT(F15:IV15,F$6:IV$6))</f>
        <v>4.32183908045977</v>
      </c>
      <c r="D15" s="5">
        <f>Temperaturen!C$26</f>
        <v>1</v>
      </c>
      <c r="E15" s="5">
        <v>1</v>
      </c>
      <c r="F15" s="108"/>
      <c r="G15" s="108"/>
      <c r="H15" s="108"/>
      <c r="I15" s="108">
        <v>1</v>
      </c>
      <c r="J15" s="108"/>
      <c r="K15" s="108"/>
      <c r="L15" s="108"/>
      <c r="M15" s="108"/>
      <c r="N15" s="108"/>
      <c r="O15" s="108"/>
      <c r="P15" s="108"/>
      <c r="Q15" s="108"/>
      <c r="R15" s="108">
        <v>1</v>
      </c>
      <c r="S15" s="108"/>
      <c r="T15" s="108">
        <v>1</v>
      </c>
      <c r="U15" s="108"/>
      <c r="V15" s="108"/>
      <c r="W15" s="108"/>
      <c r="X15" s="108"/>
      <c r="Y15" s="108"/>
      <c r="Z15" s="108"/>
      <c r="AA15" s="108"/>
      <c r="AB15" s="108"/>
    </row>
    <row r="16" spans="2:28" s="4" customFormat="1" ht="15" customHeight="1">
      <c r="B16" s="4" t="s">
        <v>68</v>
      </c>
      <c r="C16" s="5">
        <f>D16*E16*(1/SUMPRODUCT(F16:IV16,F$6:IV$6))</f>
        <v>0.3363789944858009</v>
      </c>
      <c r="D16" s="5">
        <f>Temperaturen!C$26</f>
        <v>1</v>
      </c>
      <c r="E16" s="5">
        <v>1</v>
      </c>
      <c r="F16" s="108"/>
      <c r="G16" s="108">
        <v>1</v>
      </c>
      <c r="H16" s="108"/>
      <c r="I16" s="108">
        <v>1</v>
      </c>
      <c r="J16" s="108">
        <v>1</v>
      </c>
      <c r="K16" s="108"/>
      <c r="L16" s="108">
        <v>1</v>
      </c>
      <c r="M16" s="108"/>
      <c r="N16" s="108"/>
      <c r="O16" s="108">
        <v>1</v>
      </c>
      <c r="P16" s="108"/>
      <c r="Q16" s="108"/>
      <c r="R16" s="108"/>
      <c r="S16" s="108"/>
      <c r="T16" s="108"/>
      <c r="U16" s="108"/>
      <c r="V16" s="108"/>
      <c r="W16" s="108"/>
      <c r="X16" s="108"/>
      <c r="Y16" s="108">
        <v>1</v>
      </c>
      <c r="Z16" s="108"/>
      <c r="AA16" s="108"/>
      <c r="AB16" s="108"/>
    </row>
    <row r="17" spans="2:28" s="4" customFormat="1" ht="15" customHeight="1">
      <c r="B17" s="4" t="s">
        <v>69</v>
      </c>
      <c r="C17" s="5">
        <f>D17*E17*(1/SUMPRODUCT(F17:IV17,F$6:IV$6))</f>
        <v>0.1496900533137169</v>
      </c>
      <c r="D17" s="5">
        <f>Temperaturen!C$26</f>
        <v>1</v>
      </c>
      <c r="E17" s="5">
        <v>1</v>
      </c>
      <c r="F17" s="108"/>
      <c r="G17" s="108">
        <v>1</v>
      </c>
      <c r="H17" s="108"/>
      <c r="I17" s="108">
        <v>1</v>
      </c>
      <c r="J17" s="108"/>
      <c r="K17" s="108">
        <v>1</v>
      </c>
      <c r="L17" s="108">
        <v>1</v>
      </c>
      <c r="M17" s="108"/>
      <c r="N17" s="108"/>
      <c r="O17" s="108">
        <v>1</v>
      </c>
      <c r="P17" s="108"/>
      <c r="Q17" s="108"/>
      <c r="R17" s="108"/>
      <c r="S17" s="108"/>
      <c r="T17" s="108"/>
      <c r="U17" s="108"/>
      <c r="V17" s="108"/>
      <c r="W17" s="108"/>
      <c r="X17" s="108"/>
      <c r="Y17" s="108">
        <v>1</v>
      </c>
      <c r="Z17" s="108"/>
      <c r="AA17" s="108"/>
      <c r="AB17" s="108"/>
    </row>
    <row r="18" spans="2:28" s="4" customFormat="1" ht="15" customHeight="1">
      <c r="B18" s="4" t="s">
        <v>70</v>
      </c>
      <c r="C18" s="5">
        <f>D18*E18*(1/SUMPRODUCT(F18:IV18,F$6:IV$6))</f>
        <v>1.2875536480686693</v>
      </c>
      <c r="D18" s="5">
        <f>Temperaturen!C$26</f>
        <v>1</v>
      </c>
      <c r="E18" s="5">
        <v>1</v>
      </c>
      <c r="F18" s="108"/>
      <c r="G18" s="108"/>
      <c r="H18" s="108"/>
      <c r="I18" s="108">
        <v>2</v>
      </c>
      <c r="J18" s="108"/>
      <c r="K18" s="108"/>
      <c r="L18" s="108"/>
      <c r="M18" s="108"/>
      <c r="N18" s="108"/>
      <c r="O18" s="108">
        <v>1</v>
      </c>
      <c r="P18" s="108"/>
      <c r="Q18" s="108"/>
      <c r="R18" s="108"/>
      <c r="S18" s="108"/>
      <c r="T18" s="108"/>
      <c r="U18" s="108"/>
      <c r="V18" s="108"/>
      <c r="W18" s="108"/>
      <c r="X18" s="108"/>
      <c r="Y18" s="108">
        <v>2</v>
      </c>
      <c r="Z18" s="108"/>
      <c r="AA18" s="108"/>
      <c r="AB18" s="108"/>
    </row>
    <row r="19" spans="2:28" s="4" customFormat="1" ht="15" customHeight="1">
      <c r="B19" s="4" t="s">
        <v>72</v>
      </c>
      <c r="C19" s="5">
        <f>D19*E19*(1/SUMPRODUCT(F19:IV19,F$6:IV$6))</f>
        <v>1.339285714285714</v>
      </c>
      <c r="D19" s="5">
        <f>Temperaturen!C$26</f>
        <v>1</v>
      </c>
      <c r="E19" s="5">
        <v>1</v>
      </c>
      <c r="F19" s="108"/>
      <c r="G19" s="108"/>
      <c r="H19" s="108"/>
      <c r="I19" s="108">
        <v>2</v>
      </c>
      <c r="J19" s="108"/>
      <c r="K19" s="108"/>
      <c r="L19" s="108"/>
      <c r="M19" s="108"/>
      <c r="N19" s="108"/>
      <c r="O19" s="108">
        <v>1</v>
      </c>
      <c r="P19" s="108"/>
      <c r="Q19" s="108"/>
      <c r="R19" s="108"/>
      <c r="S19" s="108"/>
      <c r="T19" s="108"/>
      <c r="U19" s="108"/>
      <c r="V19" s="108"/>
      <c r="W19" s="108"/>
      <c r="X19" s="108"/>
      <c r="Y19" s="108">
        <v>1</v>
      </c>
      <c r="Z19" s="108"/>
      <c r="AA19" s="108"/>
      <c r="AB19" s="108"/>
    </row>
    <row r="20" spans="2:28" s="4" customFormat="1" ht="15" customHeight="1">
      <c r="B20" s="4" t="s">
        <v>71</v>
      </c>
      <c r="C20" s="5">
        <f>D20*E20*(1/SUMPRODUCT(F20:IV20,F$6:IV$6))</f>
        <v>1.6393442622950818</v>
      </c>
      <c r="D20" s="5">
        <f>Temperaturen!C$26</f>
        <v>1</v>
      </c>
      <c r="E20" s="5">
        <v>1</v>
      </c>
      <c r="F20" s="108"/>
      <c r="G20" s="108"/>
      <c r="H20" s="108"/>
      <c r="I20" s="108">
        <v>2</v>
      </c>
      <c r="J20" s="108"/>
      <c r="K20" s="108"/>
      <c r="L20" s="108"/>
      <c r="M20" s="108"/>
      <c r="N20" s="108"/>
      <c r="O20" s="108"/>
      <c r="P20" s="108">
        <v>1</v>
      </c>
      <c r="Q20" s="108"/>
      <c r="R20" s="108"/>
      <c r="S20" s="108"/>
      <c r="T20" s="108"/>
      <c r="U20" s="108"/>
      <c r="V20" s="108"/>
      <c r="W20" s="108"/>
      <c r="X20" s="108"/>
      <c r="Y20" s="108">
        <v>2</v>
      </c>
      <c r="Z20" s="108"/>
      <c r="AA20" s="108"/>
      <c r="AB20" s="108"/>
    </row>
    <row r="21" spans="2:28" s="4" customFormat="1" ht="15" customHeight="1">
      <c r="B21" s="4" t="s">
        <v>73</v>
      </c>
      <c r="C21" s="5">
        <f>D21*E21*(1/SUMPRODUCT(F21:IV21,F$6:IV$6))</f>
        <v>1.7349999999999999</v>
      </c>
      <c r="D21" s="5">
        <f>Temperaturen!C$26</f>
        <v>1</v>
      </c>
      <c r="E21" s="5">
        <v>1</v>
      </c>
      <c r="F21" s="108"/>
      <c r="G21" s="108"/>
      <c r="H21" s="108"/>
      <c r="I21" s="108"/>
      <c r="J21" s="108"/>
      <c r="K21" s="108"/>
      <c r="L21" s="108"/>
      <c r="M21" s="108"/>
      <c r="N21" s="108"/>
      <c r="O21" s="108"/>
      <c r="P21" s="108"/>
      <c r="Q21" s="108"/>
      <c r="R21" s="108"/>
      <c r="S21" s="108"/>
      <c r="T21" s="108"/>
      <c r="U21" s="108"/>
      <c r="V21" s="108"/>
      <c r="W21" s="108"/>
      <c r="X21" s="108"/>
      <c r="Y21" s="108"/>
      <c r="Z21" s="108">
        <v>1</v>
      </c>
      <c r="AA21" s="108"/>
      <c r="AB21" s="108"/>
    </row>
    <row r="22" spans="2:28" s="4" customFormat="1" ht="15" customHeight="1">
      <c r="B22" s="4" t="s">
        <v>74</v>
      </c>
      <c r="C22" s="5">
        <f>D22*E22*(1/SUMPRODUCT(F22:IV22,F$6:IV$6))</f>
        <v>1.3425573519948522</v>
      </c>
      <c r="D22" s="5">
        <f>Temperaturen!C$26</f>
        <v>1</v>
      </c>
      <c r="E22" s="5">
        <v>1</v>
      </c>
      <c r="F22" s="108"/>
      <c r="G22" s="108">
        <v>1</v>
      </c>
      <c r="H22" s="108"/>
      <c r="I22" s="108">
        <v>1</v>
      </c>
      <c r="J22" s="108"/>
      <c r="K22" s="108"/>
      <c r="L22" s="108"/>
      <c r="M22" s="108"/>
      <c r="N22" s="108"/>
      <c r="O22" s="108"/>
      <c r="P22" s="108"/>
      <c r="Q22" s="108"/>
      <c r="R22" s="108"/>
      <c r="S22" s="108"/>
      <c r="T22" s="108"/>
      <c r="U22" s="108"/>
      <c r="V22" s="108"/>
      <c r="W22" s="108"/>
      <c r="X22" s="108"/>
      <c r="Y22" s="108"/>
      <c r="Z22" s="108">
        <v>1</v>
      </c>
      <c r="AA22" s="108"/>
      <c r="AB22" s="108"/>
    </row>
    <row r="23" spans="2:28" s="4" customFormat="1" ht="15" customHeight="1">
      <c r="B23" s="4" t="s">
        <v>75</v>
      </c>
      <c r="C23" s="5">
        <f>D23*E23*(1/SUMPRODUCT(F23:IV23,F$6:IV$6))</f>
        <v>1.2413793103448276</v>
      </c>
      <c r="D23" s="5">
        <f>Temperaturen!C$26</f>
        <v>1</v>
      </c>
      <c r="E23" s="5">
        <v>1</v>
      </c>
      <c r="F23" s="108"/>
      <c r="G23" s="108"/>
      <c r="H23" s="108"/>
      <c r="I23" s="108">
        <v>2</v>
      </c>
      <c r="J23" s="108"/>
      <c r="K23" s="108"/>
      <c r="L23" s="108"/>
      <c r="M23" s="108"/>
      <c r="N23" s="108"/>
      <c r="O23" s="108"/>
      <c r="P23" s="108"/>
      <c r="Q23" s="108"/>
      <c r="R23" s="108"/>
      <c r="S23" s="108"/>
      <c r="T23" s="108"/>
      <c r="U23" s="108"/>
      <c r="V23" s="108"/>
      <c r="W23" s="108"/>
      <c r="X23" s="108"/>
      <c r="Y23" s="108"/>
      <c r="Z23" s="108"/>
      <c r="AA23" s="108"/>
      <c r="AB23" s="108">
        <v>1</v>
      </c>
    </row>
    <row r="24" spans="2:28" s="4" customFormat="1" ht="15" customHeight="1">
      <c r="B24" s="4" t="s">
        <v>76</v>
      </c>
      <c r="C24" s="5">
        <f>D24*E24*(1/SUMPRODUCT(F24:IV24,F$6:IV$6))</f>
        <v>0.5080066261397235</v>
      </c>
      <c r="D24" s="5">
        <f>Temperaturen!C$26</f>
        <v>1</v>
      </c>
      <c r="E24" s="5">
        <v>1</v>
      </c>
      <c r="F24" s="108"/>
      <c r="G24" s="108">
        <v>1</v>
      </c>
      <c r="H24" s="108"/>
      <c r="I24" s="108">
        <v>1</v>
      </c>
      <c r="J24" s="108"/>
      <c r="K24" s="108"/>
      <c r="L24" s="108"/>
      <c r="M24" s="108"/>
      <c r="N24" s="108"/>
      <c r="O24" s="108"/>
      <c r="P24" s="108"/>
      <c r="Q24" s="108"/>
      <c r="R24" s="108"/>
      <c r="S24" s="108"/>
      <c r="T24" s="108"/>
      <c r="U24" s="108"/>
      <c r="V24" s="108"/>
      <c r="W24" s="108"/>
      <c r="X24" s="108"/>
      <c r="Y24" s="108"/>
      <c r="Z24" s="108"/>
      <c r="AA24" s="108">
        <v>1</v>
      </c>
      <c r="AB24" s="108"/>
    </row>
    <row r="25" spans="2:28" s="4" customFormat="1" ht="15" customHeight="1">
      <c r="B25" s="4" t="s">
        <v>77</v>
      </c>
      <c r="C25" s="5">
        <f>D25*E25*(1/SUMPRODUCT(F25:IV25,F$6:IV$6))</f>
        <v>0.19047619047619047</v>
      </c>
      <c r="D25" s="5">
        <f>Temperaturen!C$26</f>
        <v>1</v>
      </c>
      <c r="E25" s="5">
        <v>1</v>
      </c>
      <c r="F25" s="108">
        <v>1</v>
      </c>
      <c r="G25" s="108"/>
      <c r="H25" s="108"/>
      <c r="I25" s="108">
        <v>1</v>
      </c>
      <c r="J25" s="108"/>
      <c r="K25" s="108"/>
      <c r="L25" s="108"/>
      <c r="M25" s="108">
        <v>1</v>
      </c>
      <c r="N25" s="108"/>
      <c r="O25" s="108"/>
      <c r="P25" s="108"/>
      <c r="Q25" s="108"/>
      <c r="R25" s="108"/>
      <c r="S25" s="108"/>
      <c r="T25" s="108"/>
      <c r="U25" s="108"/>
      <c r="V25" s="108"/>
      <c r="W25" s="108"/>
      <c r="X25" s="108"/>
      <c r="Y25" s="108"/>
      <c r="Z25" s="108"/>
      <c r="AA25" s="108"/>
      <c r="AB25" s="108"/>
    </row>
    <row r="26" spans="2:28" s="4" customFormat="1" ht="15" customHeight="1">
      <c r="B26" s="4" t="s">
        <v>78</v>
      </c>
      <c r="C26" s="5">
        <f>D26*E26*(1/SUMPRODUCT(F26:IV26,F$6:IV$6))</f>
        <v>0.19047619047619047</v>
      </c>
      <c r="D26" s="5">
        <f>Temperaturen!C$26</f>
        <v>1</v>
      </c>
      <c r="E26" s="5">
        <v>1</v>
      </c>
      <c r="F26" s="108">
        <v>1</v>
      </c>
      <c r="G26" s="108"/>
      <c r="H26" s="108"/>
      <c r="I26" s="108">
        <v>1</v>
      </c>
      <c r="J26" s="108"/>
      <c r="K26" s="108"/>
      <c r="L26" s="108"/>
      <c r="M26" s="108">
        <v>1</v>
      </c>
      <c r="N26" s="108"/>
      <c r="O26" s="108"/>
      <c r="P26" s="108"/>
      <c r="Q26" s="108"/>
      <c r="R26" s="108"/>
      <c r="S26" s="108"/>
      <c r="T26" s="108"/>
      <c r="U26" s="108"/>
      <c r="V26" s="108"/>
      <c r="W26" s="108"/>
      <c r="X26" s="108"/>
      <c r="Y26" s="108"/>
      <c r="Z26" s="108"/>
      <c r="AA26" s="108"/>
      <c r="AB26" s="108"/>
    </row>
    <row r="27" spans="2:28" s="4" customFormat="1" ht="15" customHeight="1">
      <c r="B27" s="4" t="s">
        <v>79</v>
      </c>
      <c r="C27" s="5">
        <f>D27*E27*(1/SUMPRODUCT(F27:IV27,F$6:IV$6))</f>
        <v>0.19348054678796686</v>
      </c>
      <c r="D27" s="5">
        <f>Temperaturen!C$26</f>
        <v>1</v>
      </c>
      <c r="E27" s="5">
        <v>1</v>
      </c>
      <c r="F27" s="108"/>
      <c r="G27" s="108">
        <v>1</v>
      </c>
      <c r="H27" s="108"/>
      <c r="I27" s="108">
        <v>1</v>
      </c>
      <c r="J27" s="108"/>
      <c r="K27" s="108"/>
      <c r="L27" s="108"/>
      <c r="M27" s="108">
        <v>1</v>
      </c>
      <c r="N27" s="108"/>
      <c r="O27" s="108"/>
      <c r="P27" s="108"/>
      <c r="Q27" s="108"/>
      <c r="R27" s="108"/>
      <c r="S27" s="108"/>
      <c r="T27" s="108"/>
      <c r="U27" s="108"/>
      <c r="V27" s="108"/>
      <c r="W27" s="108"/>
      <c r="X27" s="108"/>
      <c r="Y27" s="108"/>
      <c r="Z27" s="108"/>
      <c r="AA27" s="108"/>
      <c r="AB27" s="108"/>
    </row>
    <row r="28" spans="2:28" s="4" customFormat="1" ht="15" customHeight="1">
      <c r="B28" s="4" t="s">
        <v>80</v>
      </c>
      <c r="C28" s="5">
        <f>D28*E28*(1/SUMPRODUCT(F28:IV28,F$6:IV$6))</f>
        <v>0.19348054678796686</v>
      </c>
      <c r="D28" s="5">
        <f>Temperaturen!C$26</f>
        <v>1</v>
      </c>
      <c r="E28" s="5">
        <v>1</v>
      </c>
      <c r="F28" s="108"/>
      <c r="G28" s="108">
        <v>1</v>
      </c>
      <c r="H28" s="108"/>
      <c r="I28" s="108">
        <v>1</v>
      </c>
      <c r="J28" s="108"/>
      <c r="K28" s="108"/>
      <c r="L28" s="108"/>
      <c r="M28" s="108">
        <v>1</v>
      </c>
      <c r="N28" s="108"/>
      <c r="O28" s="108"/>
      <c r="P28" s="108"/>
      <c r="Q28" s="108"/>
      <c r="R28" s="108"/>
      <c r="S28" s="108"/>
      <c r="T28" s="108"/>
      <c r="U28" s="108"/>
      <c r="V28" s="108"/>
      <c r="W28" s="108"/>
      <c r="X28" s="108"/>
      <c r="Y28" s="108"/>
      <c r="Z28" s="108"/>
      <c r="AA28" s="108"/>
      <c r="AB28" s="108"/>
    </row>
    <row r="29" spans="3:28" ht="12.75">
      <c r="C29" s="7"/>
      <c r="D29" s="7"/>
      <c r="E29" s="7"/>
      <c r="F29" s="23"/>
      <c r="G29" s="23"/>
      <c r="H29" s="23"/>
      <c r="I29" s="23"/>
      <c r="J29" s="23"/>
      <c r="K29" s="23"/>
      <c r="L29" s="23"/>
      <c r="M29" s="23"/>
      <c r="N29" s="23"/>
      <c r="O29" s="23"/>
      <c r="P29" s="23"/>
      <c r="Q29" s="23"/>
      <c r="R29" s="23"/>
      <c r="S29" s="23"/>
      <c r="T29" s="23"/>
      <c r="U29" s="23"/>
      <c r="V29" s="23"/>
      <c r="W29" s="23"/>
      <c r="X29" s="23"/>
      <c r="Y29" s="23"/>
      <c r="Z29" s="23"/>
      <c r="AA29" s="23"/>
      <c r="AB29" s="23"/>
    </row>
  </sheetData>
  <printOptions/>
  <pageMargins left="0.3937007874015748" right="0.3937007874015748" top="0.3937007874015748" bottom="0.3937007874015748" header="0.5118110236220472" footer="0.5118110236220472"/>
  <pageSetup fitToHeight="1" fitToWidth="1" horizontalDpi="600" verticalDpi="600" orientation="landscape" paperSize="9" scale="52" r:id="rId3"/>
  <ignoredErrors>
    <ignoredError sqref="AA6" formula="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D21" sqref="D21"/>
    </sheetView>
  </sheetViews>
  <sheetFormatPr defaultColWidth="9.140625" defaultRowHeight="12.75"/>
  <cols>
    <col min="2" max="2" width="29.421875" style="0" customWidth="1"/>
    <col min="3" max="3" width="9.421875" style="0" bestFit="1" customWidth="1"/>
    <col min="8" max="8" width="1.7109375" style="0" customWidth="1"/>
  </cols>
  <sheetData>
    <row r="1" spans="1:2" ht="26.25">
      <c r="A1" s="1" t="s">
        <v>196</v>
      </c>
      <c r="B1" s="1"/>
    </row>
    <row r="2" s="4" customFormat="1" ht="15" customHeight="1">
      <c r="P2" s="44" t="s">
        <v>184</v>
      </c>
    </row>
    <row r="3" spans="1:2" s="4" customFormat="1" ht="15" customHeight="1">
      <c r="A3" s="44" t="s">
        <v>198</v>
      </c>
      <c r="B3" s="84" t="s">
        <v>205</v>
      </c>
    </row>
    <row r="4" spans="1:2" s="4" customFormat="1" ht="15" customHeight="1">
      <c r="A4" s="44"/>
      <c r="B4" s="84"/>
    </row>
    <row r="5" spans="1:2" s="4" customFormat="1" ht="15" customHeight="1">
      <c r="A5" s="44" t="s">
        <v>199</v>
      </c>
      <c r="B5" s="85" t="s">
        <v>206</v>
      </c>
    </row>
    <row r="6" spans="1:2" s="4" customFormat="1" ht="15" customHeight="1">
      <c r="A6" s="44"/>
      <c r="B6" s="85"/>
    </row>
    <row r="7" spans="1:2" s="4" customFormat="1" ht="15" customHeight="1">
      <c r="A7" s="44" t="s">
        <v>207</v>
      </c>
      <c r="B7" s="85" t="s">
        <v>208</v>
      </c>
    </row>
    <row r="8" spans="1:2" s="4" customFormat="1" ht="15" customHeight="1">
      <c r="A8" s="44"/>
      <c r="B8" s="85"/>
    </row>
    <row r="9" spans="1:2" s="4" customFormat="1" ht="15" customHeight="1">
      <c r="A9" s="44" t="s">
        <v>200</v>
      </c>
      <c r="B9" s="85" t="s">
        <v>212</v>
      </c>
    </row>
    <row r="10" spans="1:2" s="4" customFormat="1" ht="15" customHeight="1">
      <c r="A10" s="44"/>
      <c r="B10" s="85"/>
    </row>
    <row r="11" spans="1:2" s="4" customFormat="1" ht="15" customHeight="1">
      <c r="A11" s="44" t="s">
        <v>209</v>
      </c>
      <c r="B11" s="85" t="s">
        <v>210</v>
      </c>
    </row>
    <row r="12" spans="1:2" s="4" customFormat="1" ht="15" customHeight="1">
      <c r="A12" s="44"/>
      <c r="B12" s="85"/>
    </row>
    <row r="13" spans="1:2" s="4" customFormat="1" ht="15" customHeight="1">
      <c r="A13" s="44" t="s">
        <v>217</v>
      </c>
      <c r="B13" s="85" t="s">
        <v>218</v>
      </c>
    </row>
    <row r="14" spans="1:2" s="4" customFormat="1" ht="15" customHeight="1">
      <c r="A14" s="44"/>
      <c r="B14" s="85"/>
    </row>
    <row r="15" spans="1:2" s="4" customFormat="1" ht="15" customHeight="1">
      <c r="A15" s="44" t="s">
        <v>219</v>
      </c>
      <c r="B15" s="84" t="s">
        <v>220</v>
      </c>
    </row>
    <row r="16" spans="1:2" s="4" customFormat="1" ht="15" customHeight="1">
      <c r="A16" s="44"/>
      <c r="B16" s="84"/>
    </row>
    <row r="17" spans="3:16" s="76" customFormat="1" ht="81.75" customHeight="1">
      <c r="C17" s="77" t="s">
        <v>202</v>
      </c>
      <c r="D17" s="77" t="s">
        <v>108</v>
      </c>
      <c r="E17" s="77" t="s">
        <v>204</v>
      </c>
      <c r="F17" s="77" t="s">
        <v>203</v>
      </c>
      <c r="G17" s="77" t="s">
        <v>215</v>
      </c>
      <c r="H17" s="77"/>
      <c r="I17" s="116" t="s">
        <v>222</v>
      </c>
      <c r="J17" s="116"/>
      <c r="K17" s="116"/>
      <c r="L17" s="116"/>
      <c r="M17" s="116"/>
      <c r="N17" s="116"/>
      <c r="O17" s="116"/>
      <c r="P17" s="116"/>
    </row>
    <row r="18" spans="3:7" s="6" customFormat="1" ht="15" customHeight="1">
      <c r="C18" s="6" t="s">
        <v>125</v>
      </c>
      <c r="F18" s="6" t="s">
        <v>122</v>
      </c>
      <c r="G18" s="6" t="s">
        <v>211</v>
      </c>
    </row>
    <row r="19" spans="3:7" s="4" customFormat="1" ht="15" customHeight="1">
      <c r="C19" s="6"/>
      <c r="D19" s="6"/>
      <c r="E19" s="6"/>
      <c r="F19" s="6"/>
      <c r="G19" s="6"/>
    </row>
    <row r="20" spans="2:9" s="4" customFormat="1" ht="15" customHeight="1">
      <c r="B20" s="4" t="str">
        <f>Materialen!B10</f>
        <v>GLV vloer op isolatie</v>
      </c>
      <c r="C20" s="5">
        <f>Materialen!C10</f>
        <v>0.1828746335799458</v>
      </c>
      <c r="D20" s="5">
        <v>1</v>
      </c>
      <c r="E20" s="108">
        <v>1</v>
      </c>
      <c r="F20" s="70">
        <f>SUM(I20:P20)</f>
        <v>157.4</v>
      </c>
      <c r="G20" s="5">
        <f>C20*D20*E20*F20</f>
        <v>28.78446732548347</v>
      </c>
      <c r="H20" s="86"/>
      <c r="I20" s="4">
        <v>157.4</v>
      </c>
    </row>
    <row r="21" spans="2:9" s="4" customFormat="1" ht="15" customHeight="1">
      <c r="B21" s="4" t="str">
        <f>Materialen!B11</f>
        <v>GLV vloer niet op isolatie</v>
      </c>
      <c r="C21" s="5">
        <f>Materialen!C11</f>
        <v>1.002693674234962</v>
      </c>
      <c r="D21" s="5">
        <v>1</v>
      </c>
      <c r="E21" s="108">
        <v>1</v>
      </c>
      <c r="F21" s="70">
        <f aca="true" t="shared" si="0" ref="F21:F38">SUM(I21:P21)</f>
        <v>39.15</v>
      </c>
      <c r="G21" s="5">
        <f aca="true" t="shared" si="1" ref="G21:G38">C21*D21*E21*F21</f>
        <v>39.255457346298755</v>
      </c>
      <c r="H21" s="86"/>
      <c r="I21" s="4">
        <v>39.15</v>
      </c>
    </row>
    <row r="22" spans="2:8" s="4" customFormat="1" ht="15" customHeight="1">
      <c r="B22" s="4" t="str">
        <f>Materialen!B12</f>
        <v>GLV plafond / VDP vloer</v>
      </c>
      <c r="C22" s="5">
        <f>Materialen!C12</f>
        <v>1.9676248953391011</v>
      </c>
      <c r="D22" s="5">
        <f>Materialen!D12</f>
        <v>1</v>
      </c>
      <c r="E22" s="108">
        <v>0</v>
      </c>
      <c r="F22" s="70">
        <f t="shared" si="0"/>
        <v>0</v>
      </c>
      <c r="G22" s="5">
        <f t="shared" si="1"/>
        <v>0</v>
      </c>
      <c r="H22" s="86"/>
    </row>
    <row r="23" spans="2:8" s="4" customFormat="1" ht="15" customHeight="1">
      <c r="B23" s="4" t="str">
        <f>Materialen!B13</f>
        <v>GLV plafond garage / VDP vloer</v>
      </c>
      <c r="C23" s="5">
        <f>Materialen!C13</f>
        <v>2.0910573928518463</v>
      </c>
      <c r="D23" s="5">
        <f>Materialen!D13</f>
        <v>1</v>
      </c>
      <c r="E23" s="108">
        <v>0</v>
      </c>
      <c r="F23" s="70">
        <f t="shared" si="0"/>
        <v>0</v>
      </c>
      <c r="G23" s="5">
        <f t="shared" si="1"/>
        <v>0</v>
      </c>
      <c r="H23" s="86"/>
    </row>
    <row r="24" spans="2:9" s="4" customFormat="1" ht="15" customHeight="1">
      <c r="B24" s="4" t="str">
        <f>Materialen!B14</f>
        <v>GLV plafond garage / VDP platdak</v>
      </c>
      <c r="C24" s="5">
        <f>Materialen!C14</f>
        <v>0.29026952638782855</v>
      </c>
      <c r="D24" s="5">
        <f>Materialen!D14</f>
        <v>1</v>
      </c>
      <c r="E24" s="108">
        <v>1</v>
      </c>
      <c r="F24" s="70">
        <f t="shared" si="0"/>
        <v>12</v>
      </c>
      <c r="G24" s="5">
        <f t="shared" si="1"/>
        <v>3.4832343166539426</v>
      </c>
      <c r="H24" s="86"/>
      <c r="I24" s="4">
        <v>12</v>
      </c>
    </row>
    <row r="25" spans="2:8" s="4" customFormat="1" ht="15" customHeight="1">
      <c r="B25" s="4" t="str">
        <f>Materialen!B15</f>
        <v>VDP plafond / ZOL vloer</v>
      </c>
      <c r="C25" s="5">
        <f>Materialen!C15</f>
        <v>4.32183908045977</v>
      </c>
      <c r="D25" s="5">
        <f>Materialen!D15</f>
        <v>1</v>
      </c>
      <c r="E25" s="108">
        <v>0</v>
      </c>
      <c r="F25" s="70">
        <f t="shared" si="0"/>
        <v>0</v>
      </c>
      <c r="G25" s="5">
        <f t="shared" si="1"/>
        <v>0</v>
      </c>
      <c r="H25" s="86"/>
    </row>
    <row r="26" spans="2:12" s="4" customFormat="1" ht="15" customHeight="1">
      <c r="B26" s="4" t="str">
        <f>Materialen!B16</f>
        <v>Buitenmuur Gevelsteen</v>
      </c>
      <c r="C26" s="5">
        <f>Materialen!C16</f>
        <v>0.3363789944858009</v>
      </c>
      <c r="D26" s="5">
        <f>Materialen!D16</f>
        <v>1</v>
      </c>
      <c r="E26" s="108">
        <v>1</v>
      </c>
      <c r="F26" s="70">
        <f t="shared" si="0"/>
        <v>161.32</v>
      </c>
      <c r="G26" s="5">
        <f t="shared" si="1"/>
        <v>54.264659390449395</v>
      </c>
      <c r="H26" s="86"/>
      <c r="I26" s="4">
        <v>159.12</v>
      </c>
      <c r="J26" s="4">
        <v>102</v>
      </c>
      <c r="K26" s="86">
        <v>10.4</v>
      </c>
      <c r="L26" s="4">
        <f>-F27-F31-F32-F34</f>
        <v>-110.2</v>
      </c>
    </row>
    <row r="27" spans="2:11" s="4" customFormat="1" ht="15" customHeight="1">
      <c r="B27" s="4" t="str">
        <f>Materialen!B17</f>
        <v>Buitenmuur Crepi</v>
      </c>
      <c r="C27" s="5">
        <f>Materialen!C17</f>
        <v>0.1496900533137169</v>
      </c>
      <c r="D27" s="5">
        <f>Materialen!D17</f>
        <v>1</v>
      </c>
      <c r="E27" s="108">
        <v>1</v>
      </c>
      <c r="F27" s="70">
        <f t="shared" si="0"/>
        <v>21.66</v>
      </c>
      <c r="G27" s="5">
        <f t="shared" si="1"/>
        <v>3.242286554775108</v>
      </c>
      <c r="H27" s="86"/>
      <c r="I27" s="4">
        <v>12.5</v>
      </c>
      <c r="J27" s="4">
        <v>6.66</v>
      </c>
      <c r="K27" s="86">
        <v>2.5</v>
      </c>
    </row>
    <row r="28" spans="2:8" s="4" customFormat="1" ht="15" customHeight="1">
      <c r="B28" s="4" t="str">
        <f>Materialen!B18</f>
        <v>Binnenmuur dragend</v>
      </c>
      <c r="C28" s="5">
        <f>Materialen!C18</f>
        <v>1.2875536480686693</v>
      </c>
      <c r="D28" s="5">
        <f>Materialen!D18</f>
        <v>1</v>
      </c>
      <c r="E28" s="108">
        <v>0</v>
      </c>
      <c r="F28" s="70">
        <f t="shared" si="0"/>
        <v>0</v>
      </c>
      <c r="G28" s="5">
        <f t="shared" si="1"/>
        <v>0</v>
      </c>
      <c r="H28" s="86"/>
    </row>
    <row r="29" spans="2:8" s="4" customFormat="1" ht="15" customHeight="1">
      <c r="B29" s="4" t="str">
        <f>Materialen!B19</f>
        <v>Binnenmuur dragend (garage)</v>
      </c>
      <c r="C29" s="5">
        <f>Materialen!C19</f>
        <v>1.339285714285714</v>
      </c>
      <c r="D29" s="5">
        <f>Materialen!D19</f>
        <v>1</v>
      </c>
      <c r="E29" s="108">
        <v>0</v>
      </c>
      <c r="F29" s="70">
        <f t="shared" si="0"/>
        <v>0</v>
      </c>
      <c r="G29" s="5">
        <f t="shared" si="1"/>
        <v>0</v>
      </c>
      <c r="H29" s="86"/>
    </row>
    <row r="30" spans="2:8" s="4" customFormat="1" ht="15" customHeight="1">
      <c r="B30" s="4" t="str">
        <f>Materialen!B20</f>
        <v>Binnenmuur niet-dragend</v>
      </c>
      <c r="C30" s="5">
        <f>Materialen!C20</f>
        <v>1.6393442622950818</v>
      </c>
      <c r="D30" s="5">
        <f>Materialen!D20</f>
        <v>1</v>
      </c>
      <c r="E30" s="108">
        <v>0</v>
      </c>
      <c r="F30" s="70">
        <f t="shared" si="0"/>
        <v>0</v>
      </c>
      <c r="G30" s="5">
        <f t="shared" si="1"/>
        <v>0</v>
      </c>
      <c r="H30" s="86"/>
    </row>
    <row r="31" spans="2:16" s="4" customFormat="1" ht="15" customHeight="1">
      <c r="B31" s="4" t="str">
        <f>Materialen!B21</f>
        <v>Raam</v>
      </c>
      <c r="C31" s="5">
        <f>Materialen!C21</f>
        <v>1.7349999999999999</v>
      </c>
      <c r="D31" s="5">
        <f>Materialen!D21</f>
        <v>1</v>
      </c>
      <c r="E31" s="108">
        <v>1</v>
      </c>
      <c r="F31" s="70">
        <f t="shared" si="0"/>
        <v>73.42</v>
      </c>
      <c r="G31" s="5">
        <f t="shared" si="1"/>
        <v>127.38369999999999</v>
      </c>
      <c r="H31" s="86"/>
      <c r="I31" s="4">
        <v>40.56</v>
      </c>
      <c r="J31" s="4">
        <v>1.98</v>
      </c>
      <c r="K31" s="86">
        <v>2.52</v>
      </c>
      <c r="L31" s="86">
        <v>1.4</v>
      </c>
      <c r="M31" s="86">
        <v>10.8</v>
      </c>
      <c r="N31" s="86">
        <v>3</v>
      </c>
      <c r="O31" s="86">
        <v>0.91</v>
      </c>
      <c r="P31" s="86">
        <v>12.25</v>
      </c>
    </row>
    <row r="32" spans="2:9" s="4" customFormat="1" ht="15" customHeight="1">
      <c r="B32" s="4" t="str">
        <f>Materialen!B22</f>
        <v>Buitendeur</v>
      </c>
      <c r="C32" s="5">
        <f>Materialen!C22</f>
        <v>1.3425573519948522</v>
      </c>
      <c r="D32" s="5">
        <f>Materialen!D22</f>
        <v>1</v>
      </c>
      <c r="E32" s="108">
        <v>1</v>
      </c>
      <c r="F32" s="70">
        <f t="shared" si="0"/>
        <v>3.12</v>
      </c>
      <c r="G32" s="5">
        <f t="shared" si="1"/>
        <v>4.188778938223939</v>
      </c>
      <c r="H32" s="86"/>
      <c r="I32" s="4">
        <v>3.12</v>
      </c>
    </row>
    <row r="33" spans="2:8" s="4" customFormat="1" ht="15" customHeight="1">
      <c r="B33" s="4" t="str">
        <f>Materialen!B23</f>
        <v>Binnendeur</v>
      </c>
      <c r="C33" s="5">
        <f>Materialen!C23</f>
        <v>1.2413793103448276</v>
      </c>
      <c r="D33" s="5">
        <f>Materialen!D23</f>
        <v>1</v>
      </c>
      <c r="E33" s="108">
        <v>0</v>
      </c>
      <c r="F33" s="70">
        <f t="shared" si="0"/>
        <v>0</v>
      </c>
      <c r="G33" s="5">
        <f t="shared" si="1"/>
        <v>0</v>
      </c>
      <c r="H33" s="86"/>
    </row>
    <row r="34" spans="2:9" s="4" customFormat="1" ht="15" customHeight="1">
      <c r="B34" s="4" t="str">
        <f>Materialen!B24</f>
        <v>Garagepoort</v>
      </c>
      <c r="C34" s="5">
        <f>Materialen!C24</f>
        <v>0.5080066261397235</v>
      </c>
      <c r="D34" s="5">
        <f>Materialen!D24</f>
        <v>1</v>
      </c>
      <c r="E34" s="108">
        <v>1</v>
      </c>
      <c r="F34" s="70">
        <f t="shared" si="0"/>
        <v>12</v>
      </c>
      <c r="G34" s="5">
        <f t="shared" si="1"/>
        <v>6.096079513676681</v>
      </c>
      <c r="H34" s="86"/>
      <c r="I34" s="4">
        <v>12</v>
      </c>
    </row>
    <row r="35" spans="2:9" s="4" customFormat="1" ht="15" customHeight="1">
      <c r="B35" s="4" t="str">
        <f>Materialen!B25</f>
        <v>Zadeldak noord</v>
      </c>
      <c r="C35" s="5">
        <f>Materialen!C25</f>
        <v>0.19047619047619047</v>
      </c>
      <c r="D35" s="5">
        <f>Materialen!D25</f>
        <v>1</v>
      </c>
      <c r="E35" s="108">
        <v>1</v>
      </c>
      <c r="F35" s="70">
        <f t="shared" si="0"/>
        <v>86.4</v>
      </c>
      <c r="G35" s="5">
        <f t="shared" si="1"/>
        <v>16.45714285714286</v>
      </c>
      <c r="H35" s="86"/>
      <c r="I35" s="4">
        <v>86.4</v>
      </c>
    </row>
    <row r="36" spans="2:9" s="4" customFormat="1" ht="15" customHeight="1">
      <c r="B36" s="4" t="str">
        <f>Materialen!B26</f>
        <v>Zadeldak zuid</v>
      </c>
      <c r="C36" s="5">
        <f>Materialen!C26</f>
        <v>0.19047619047619047</v>
      </c>
      <c r="D36" s="5">
        <f>Materialen!D26</f>
        <v>1</v>
      </c>
      <c r="E36" s="108">
        <v>1</v>
      </c>
      <c r="F36" s="70">
        <f t="shared" si="0"/>
        <v>86.4</v>
      </c>
      <c r="G36" s="5">
        <f t="shared" si="1"/>
        <v>16.45714285714286</v>
      </c>
      <c r="H36" s="86"/>
      <c r="I36" s="4">
        <v>86.4</v>
      </c>
    </row>
    <row r="37" spans="2:9" s="4" customFormat="1" ht="15" customHeight="1">
      <c r="B37" s="4" t="str">
        <f>Materialen!B27</f>
        <v>Puntgevel oost</v>
      </c>
      <c r="C37" s="5">
        <f>Materialen!C27</f>
        <v>0.19348054678796686</v>
      </c>
      <c r="D37" s="5">
        <f>Materialen!D27</f>
        <v>1</v>
      </c>
      <c r="E37" s="108">
        <v>1</v>
      </c>
      <c r="F37" s="70">
        <f t="shared" si="0"/>
        <v>32</v>
      </c>
      <c r="G37" s="5">
        <f t="shared" si="1"/>
        <v>6.19137749721494</v>
      </c>
      <c r="H37" s="86"/>
      <c r="I37" s="4">
        <v>32</v>
      </c>
    </row>
    <row r="38" spans="2:9" s="4" customFormat="1" ht="15" customHeight="1">
      <c r="B38" s="4" t="str">
        <f>Materialen!B28</f>
        <v>Puntgevel west</v>
      </c>
      <c r="C38" s="5">
        <f>Materialen!C28</f>
        <v>0.19348054678796686</v>
      </c>
      <c r="D38" s="5">
        <f>Materialen!D28</f>
        <v>1</v>
      </c>
      <c r="E38" s="108">
        <v>1</v>
      </c>
      <c r="F38" s="70">
        <f t="shared" si="0"/>
        <v>32</v>
      </c>
      <c r="G38" s="5">
        <f t="shared" si="1"/>
        <v>6.19137749721494</v>
      </c>
      <c r="H38" s="86"/>
      <c r="I38" s="4">
        <v>32</v>
      </c>
    </row>
    <row r="39" s="4" customFormat="1" ht="15" customHeight="1"/>
    <row r="40" spans="2:4" s="4" customFormat="1" ht="15" customHeight="1">
      <c r="B40" s="44" t="s">
        <v>213</v>
      </c>
      <c r="C40" s="4">
        <f>SUM(F20:F38)</f>
        <v>716.87</v>
      </c>
      <c r="D40" s="4" t="s">
        <v>38</v>
      </c>
    </row>
    <row r="41" s="4" customFormat="1" ht="15" customHeight="1">
      <c r="B41" s="44"/>
    </row>
    <row r="42" spans="2:4" s="4" customFormat="1" ht="15" customHeight="1">
      <c r="B42" s="44" t="s">
        <v>214</v>
      </c>
      <c r="C42" s="86">
        <f>SUM(G20:G38)</f>
        <v>311.9957040942769</v>
      </c>
      <c r="D42" s="4" t="s">
        <v>223</v>
      </c>
    </row>
    <row r="43" s="4" customFormat="1" ht="15" customHeight="1">
      <c r="B43" s="44"/>
    </row>
    <row r="44" spans="2:4" s="4" customFormat="1" ht="15" customHeight="1">
      <c r="B44" s="44" t="s">
        <v>201</v>
      </c>
      <c r="C44" s="86">
        <f>C42/C40</f>
        <v>0.4352193620799823</v>
      </c>
      <c r="D44" s="4" t="s">
        <v>61</v>
      </c>
    </row>
    <row r="45" s="4" customFormat="1" ht="15" customHeight="1"/>
    <row r="46" spans="2:4" s="4" customFormat="1" ht="15" customHeight="1">
      <c r="B46" s="44" t="s">
        <v>216</v>
      </c>
      <c r="C46" s="86">
        <f>Compactheid!E34</f>
        <v>1.54448426816204</v>
      </c>
      <c r="D46" s="4" t="s">
        <v>55</v>
      </c>
    </row>
    <row r="47" s="4" customFormat="1" ht="15" customHeight="1"/>
    <row r="48" spans="2:3" s="4" customFormat="1" ht="15" customHeight="1">
      <c r="B48" s="80" t="s">
        <v>221</v>
      </c>
      <c r="C48" s="87">
        <f>IF(C46&lt;1,(100*C44),IF(C46&lt;4,(300*C44/(C46+2)),(50*C44)))</f>
        <v>36.83633463880442</v>
      </c>
    </row>
  </sheetData>
  <mergeCells count="1">
    <mergeCell ref="I17:P17"/>
  </mergeCells>
  <printOptions/>
  <pageMargins left="0.3937007874015748" right="0.3937007874015748" top="0.3937007874015748" bottom="0.3937007874015748" header="0.5118110236220472" footer="0.5118110236220472"/>
  <pageSetup fitToHeight="1" fitToWidth="1" horizontalDpi="600" verticalDpi="600" orientation="landscape" paperSize="9" scale="65" r:id="rId4"/>
  <legacyDrawing r:id="rId3"/>
  <oleObjects>
    <oleObject progId="Equation.3" shapeId="1546826" r:id="rId2"/>
  </oleObjects>
</worksheet>
</file>

<file path=xl/worksheets/sheet7.xml><?xml version="1.0" encoding="utf-8"?>
<worksheet xmlns="http://schemas.openxmlformats.org/spreadsheetml/2006/main" xmlns:r="http://schemas.openxmlformats.org/officeDocument/2006/relationships">
  <sheetPr>
    <pageSetUpPr fitToPage="1"/>
  </sheetPr>
  <dimension ref="A1:S240"/>
  <sheetViews>
    <sheetView workbookViewId="0" topLeftCell="A1">
      <pane xSplit="1" ySplit="6" topLeftCell="B7"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0.57421875" style="0" bestFit="1" customWidth="1"/>
    <col min="2" max="2" width="4.57421875" style="2" customWidth="1"/>
    <col min="3" max="3" width="29.28125" style="0" customWidth="1"/>
    <col min="4" max="4" width="1.7109375" style="0" customWidth="1"/>
    <col min="5" max="6" width="8.7109375" style="7" customWidth="1"/>
    <col min="7" max="7" width="12.7109375" style="2" customWidth="1"/>
    <col min="8" max="8" width="17.00390625" style="0" bestFit="1" customWidth="1"/>
    <col min="9" max="9" width="1.7109375" style="0" customWidth="1"/>
    <col min="10" max="11" width="10.7109375" style="7" customWidth="1"/>
    <col min="12" max="12" width="41.00390625" style="2" hidden="1" customWidth="1"/>
    <col min="13" max="13" width="10.7109375" style="26" bestFit="1" customWidth="1"/>
    <col min="14" max="14" width="1.7109375" style="0" customWidth="1"/>
    <col min="15" max="15" width="10.7109375" style="0" customWidth="1"/>
    <col min="16" max="16" width="1.7109375" style="0" customWidth="1"/>
    <col min="17" max="17" width="10.7109375" style="2" customWidth="1"/>
    <col min="18" max="18" width="1.7109375" style="2" customWidth="1"/>
    <col min="19" max="19" width="10.7109375" style="2" customWidth="1"/>
  </cols>
  <sheetData>
    <row r="1" ht="26.25">
      <c r="A1" s="1" t="s">
        <v>163</v>
      </c>
    </row>
    <row r="2" ht="12.75">
      <c r="S2" s="24" t="s">
        <v>184</v>
      </c>
    </row>
    <row r="3" ht="12.75"/>
    <row r="4" spans="5:19" s="52" customFormat="1" ht="12.75">
      <c r="E4" s="14" t="s">
        <v>114</v>
      </c>
      <c r="F4" s="14" t="s">
        <v>115</v>
      </c>
      <c r="G4" s="52" t="s">
        <v>116</v>
      </c>
      <c r="H4" s="52" t="s">
        <v>168</v>
      </c>
      <c r="J4" s="14" t="s">
        <v>117</v>
      </c>
      <c r="K4" s="14" t="s">
        <v>118</v>
      </c>
      <c r="M4" s="53" t="s">
        <v>60</v>
      </c>
      <c r="O4" s="52" t="s">
        <v>119</v>
      </c>
      <c r="Q4" s="52" t="s">
        <v>120</v>
      </c>
      <c r="S4" s="52" t="s">
        <v>147</v>
      </c>
    </row>
    <row r="5" spans="5:19" s="52" customFormat="1" ht="12.75">
      <c r="E5" s="14" t="s">
        <v>121</v>
      </c>
      <c r="F5" s="14" t="s">
        <v>121</v>
      </c>
      <c r="G5" s="52" t="s">
        <v>122</v>
      </c>
      <c r="J5" s="14" t="s">
        <v>123</v>
      </c>
      <c r="K5" s="14" t="s">
        <v>124</v>
      </c>
      <c r="M5" s="53" t="s">
        <v>125</v>
      </c>
      <c r="O5" s="52" t="s">
        <v>126</v>
      </c>
      <c r="Q5" s="52" t="s">
        <v>123</v>
      </c>
      <c r="S5" s="52" t="s">
        <v>137</v>
      </c>
    </row>
    <row r="6" spans="8:15" ht="12.75">
      <c r="H6" s="24"/>
      <c r="I6" s="24"/>
      <c r="O6" s="24"/>
    </row>
    <row r="7" spans="1:19" ht="12.75">
      <c r="A7" t="s">
        <v>133</v>
      </c>
      <c r="B7" s="78"/>
      <c r="C7" s="74" t="s">
        <v>63</v>
      </c>
      <c r="E7" s="79">
        <v>14.88</v>
      </c>
      <c r="F7" s="79">
        <v>5.07</v>
      </c>
      <c r="G7" s="7">
        <f aca="true" t="shared" si="0" ref="G7:G13">E7*F7</f>
        <v>75.44160000000001</v>
      </c>
      <c r="H7" s="109" t="s">
        <v>17</v>
      </c>
      <c r="I7" s="31"/>
      <c r="J7" s="7">
        <f aca="true" t="shared" si="1" ref="J7:J23">LOOKUP(H7,H$210:H$225,J$210:J$225)</f>
        <v>5</v>
      </c>
      <c r="K7" s="7">
        <f aca="true" t="shared" si="2" ref="K7:K23">Q$7-J7</f>
        <v>17</v>
      </c>
      <c r="M7" s="26">
        <f aca="true" t="shared" si="3" ref="M7:M23">LOOKUP(C7,C$210:C$228,M$210:M$228)</f>
        <v>0.1828746335799458</v>
      </c>
      <c r="O7" s="46">
        <f aca="true" t="shared" si="4" ref="O7:O13">M7*K7*G7</f>
        <v>234.5380342636423</v>
      </c>
      <c r="Q7" s="7">
        <f>Temperaturen!B11</f>
        <v>22</v>
      </c>
      <c r="R7" s="7"/>
      <c r="S7" s="7">
        <f>'Oppervlaktes &amp; Volumes'!I4</f>
        <v>196.14816000000002</v>
      </c>
    </row>
    <row r="8" spans="1:19" ht="12.75">
      <c r="A8" t="s">
        <v>127</v>
      </c>
      <c r="B8" s="78"/>
      <c r="C8" s="74" t="s">
        <v>65</v>
      </c>
      <c r="E8" s="79">
        <v>4.77</v>
      </c>
      <c r="F8" s="79">
        <v>5.07</v>
      </c>
      <c r="G8" s="7">
        <f t="shared" si="0"/>
        <v>24.183899999999998</v>
      </c>
      <c r="H8" s="109" t="s">
        <v>5</v>
      </c>
      <c r="I8" s="31"/>
      <c r="J8" s="7">
        <f t="shared" si="1"/>
        <v>20</v>
      </c>
      <c r="K8" s="7">
        <f t="shared" si="2"/>
        <v>2</v>
      </c>
      <c r="M8" s="26">
        <f t="shared" si="3"/>
        <v>1.9676248953391011</v>
      </c>
      <c r="O8" s="46">
        <f t="shared" si="4"/>
        <v>95.16968741278257</v>
      </c>
      <c r="Q8" s="7"/>
      <c r="R8" s="7"/>
      <c r="S8" s="7"/>
    </row>
    <row r="9" spans="2:19" ht="12.75">
      <c r="B9" s="78"/>
      <c r="C9" s="74" t="s">
        <v>65</v>
      </c>
      <c r="E9" s="79">
        <v>5.04</v>
      </c>
      <c r="F9" s="79">
        <v>5.07</v>
      </c>
      <c r="G9" s="7">
        <f t="shared" si="0"/>
        <v>25.5528</v>
      </c>
      <c r="H9" s="109" t="s">
        <v>8</v>
      </c>
      <c r="I9" s="31"/>
      <c r="J9" s="7">
        <f t="shared" si="1"/>
        <v>20</v>
      </c>
      <c r="K9" s="7">
        <f t="shared" si="2"/>
        <v>2</v>
      </c>
      <c r="M9" s="26">
        <f t="shared" si="3"/>
        <v>1.9676248953391011</v>
      </c>
      <c r="O9" s="46">
        <f t="shared" si="4"/>
        <v>100.55665085124197</v>
      </c>
      <c r="Q9" s="7"/>
      <c r="R9" s="7"/>
      <c r="S9" s="7"/>
    </row>
    <row r="10" spans="2:19" ht="12.75">
      <c r="B10" s="78"/>
      <c r="C10" s="74" t="s">
        <v>65</v>
      </c>
      <c r="E10" s="79">
        <v>1.64</v>
      </c>
      <c r="F10" s="79">
        <v>1.3</v>
      </c>
      <c r="G10" s="7">
        <f t="shared" si="0"/>
        <v>2.132</v>
      </c>
      <c r="H10" s="109" t="s">
        <v>8</v>
      </c>
      <c r="I10" s="31"/>
      <c r="J10" s="7">
        <f t="shared" si="1"/>
        <v>20</v>
      </c>
      <c r="K10" s="7">
        <f t="shared" si="2"/>
        <v>2</v>
      </c>
      <c r="M10" s="26">
        <f t="shared" si="3"/>
        <v>1.9676248953391011</v>
      </c>
      <c r="O10" s="46">
        <f t="shared" si="4"/>
        <v>8.389952553725928</v>
      </c>
      <c r="Q10" s="7"/>
      <c r="R10" s="7"/>
      <c r="S10" s="7"/>
    </row>
    <row r="11" spans="2:19" ht="12.75">
      <c r="B11" s="78"/>
      <c r="C11" s="74" t="s">
        <v>65</v>
      </c>
      <c r="E11" s="79">
        <v>5.07</v>
      </c>
      <c r="F11" s="79">
        <v>3.6</v>
      </c>
      <c r="G11" s="7">
        <f t="shared" si="0"/>
        <v>18.252000000000002</v>
      </c>
      <c r="H11" s="109" t="s">
        <v>9</v>
      </c>
      <c r="I11" s="31"/>
      <c r="J11" s="7">
        <f t="shared" si="1"/>
        <v>20</v>
      </c>
      <c r="K11" s="7">
        <f t="shared" si="2"/>
        <v>2</v>
      </c>
      <c r="M11" s="26">
        <f t="shared" si="3"/>
        <v>1.9676248953391011</v>
      </c>
      <c r="O11" s="46">
        <f t="shared" si="4"/>
        <v>71.82617917945856</v>
      </c>
      <c r="Q11" s="7"/>
      <c r="R11" s="7"/>
      <c r="S11" s="7"/>
    </row>
    <row r="12" spans="2:19" ht="12.75">
      <c r="B12" s="78"/>
      <c r="C12" s="74" t="s">
        <v>65</v>
      </c>
      <c r="E12" s="79">
        <v>3.3</v>
      </c>
      <c r="F12" s="79">
        <v>1.3</v>
      </c>
      <c r="G12" s="7">
        <f t="shared" si="0"/>
        <v>4.29</v>
      </c>
      <c r="H12" s="109" t="s">
        <v>10</v>
      </c>
      <c r="I12" s="31"/>
      <c r="J12" s="7">
        <f t="shared" si="1"/>
        <v>23</v>
      </c>
      <c r="K12" s="7">
        <f t="shared" si="2"/>
        <v>-1</v>
      </c>
      <c r="M12" s="26">
        <f t="shared" si="3"/>
        <v>1.9676248953391011</v>
      </c>
      <c r="O12" s="46">
        <f t="shared" si="4"/>
        <v>-8.441110801004744</v>
      </c>
      <c r="Q12" s="7"/>
      <c r="R12" s="7"/>
      <c r="S12" s="7"/>
    </row>
    <row r="13" spans="2:19" ht="12.75">
      <c r="B13" s="78" t="s">
        <v>128</v>
      </c>
      <c r="C13" s="74" t="s">
        <v>70</v>
      </c>
      <c r="E13" s="79">
        <v>2.9</v>
      </c>
      <c r="F13" s="79">
        <v>2.6</v>
      </c>
      <c r="G13" s="7">
        <f t="shared" si="0"/>
        <v>7.54</v>
      </c>
      <c r="H13" s="109" t="s">
        <v>0</v>
      </c>
      <c r="I13" s="31"/>
      <c r="J13" s="7">
        <f t="shared" si="1"/>
        <v>18</v>
      </c>
      <c r="K13" s="7">
        <f t="shared" si="2"/>
        <v>4</v>
      </c>
      <c r="M13" s="26">
        <f t="shared" si="3"/>
        <v>1.2875536480686693</v>
      </c>
      <c r="O13" s="46">
        <f t="shared" si="4"/>
        <v>38.83261802575107</v>
      </c>
      <c r="Q13" s="7"/>
      <c r="R13" s="7"/>
      <c r="S13" s="7"/>
    </row>
    <row r="14" spans="2:19" ht="12.75">
      <c r="B14" s="78"/>
      <c r="C14" s="74" t="s">
        <v>70</v>
      </c>
      <c r="E14" s="79">
        <v>-0.9</v>
      </c>
      <c r="F14" s="79">
        <v>2</v>
      </c>
      <c r="G14" s="7">
        <f aca="true" t="shared" si="5" ref="G14:G50">E14*F14</f>
        <v>-1.8</v>
      </c>
      <c r="H14" s="109" t="s">
        <v>0</v>
      </c>
      <c r="I14" s="31"/>
      <c r="J14" s="7">
        <f t="shared" si="1"/>
        <v>18</v>
      </c>
      <c r="K14" s="7">
        <f t="shared" si="2"/>
        <v>4</v>
      </c>
      <c r="M14" s="26">
        <f t="shared" si="3"/>
        <v>1.2875536480686693</v>
      </c>
      <c r="O14" s="46">
        <f aca="true" t="shared" si="6" ref="O14:O50">M14*K14*G14</f>
        <v>-9.27038626609442</v>
      </c>
      <c r="Q14" s="7"/>
      <c r="R14" s="7"/>
      <c r="S14" s="7"/>
    </row>
    <row r="15" spans="2:19" ht="12.75">
      <c r="B15" s="78"/>
      <c r="C15" s="74" t="s">
        <v>75</v>
      </c>
      <c r="E15" s="79">
        <v>0.9</v>
      </c>
      <c r="F15" s="79">
        <v>2</v>
      </c>
      <c r="G15" s="7">
        <f t="shared" si="5"/>
        <v>1.8</v>
      </c>
      <c r="H15" s="109" t="s">
        <v>0</v>
      </c>
      <c r="I15" s="31"/>
      <c r="J15" s="7">
        <f t="shared" si="1"/>
        <v>18</v>
      </c>
      <c r="K15" s="7">
        <f t="shared" si="2"/>
        <v>4</v>
      </c>
      <c r="M15" s="26">
        <f t="shared" si="3"/>
        <v>1.2413793103448276</v>
      </c>
      <c r="O15" s="46">
        <f t="shared" si="6"/>
        <v>8.937931034482759</v>
      </c>
      <c r="Q15" s="7"/>
      <c r="R15" s="7"/>
      <c r="S15" s="7"/>
    </row>
    <row r="16" spans="2:19" ht="12.75">
      <c r="B16" s="78"/>
      <c r="C16" s="74" t="s">
        <v>70</v>
      </c>
      <c r="E16" s="79">
        <v>1.85</v>
      </c>
      <c r="F16" s="79">
        <v>2.6</v>
      </c>
      <c r="G16" s="7">
        <f t="shared" si="5"/>
        <v>4.8100000000000005</v>
      </c>
      <c r="H16" s="109" t="s">
        <v>1</v>
      </c>
      <c r="I16" s="31"/>
      <c r="J16" s="7">
        <f t="shared" si="1"/>
        <v>18</v>
      </c>
      <c r="K16" s="7">
        <f t="shared" si="2"/>
        <v>4</v>
      </c>
      <c r="M16" s="26">
        <f t="shared" si="3"/>
        <v>1.2875536480686693</v>
      </c>
      <c r="O16" s="46">
        <f t="shared" si="6"/>
        <v>24.7725321888412</v>
      </c>
      <c r="Q16" s="7"/>
      <c r="R16" s="7"/>
      <c r="S16" s="7"/>
    </row>
    <row r="17" spans="2:19" ht="12.75">
      <c r="B17" s="78"/>
      <c r="C17" s="74" t="s">
        <v>75</v>
      </c>
      <c r="E17" s="79">
        <v>3.79</v>
      </c>
      <c r="F17" s="79">
        <v>2.6</v>
      </c>
      <c r="G17" s="7">
        <f t="shared" si="5"/>
        <v>9.854000000000001</v>
      </c>
      <c r="H17" s="109" t="s">
        <v>3</v>
      </c>
      <c r="I17" s="31"/>
      <c r="J17" s="7">
        <f t="shared" si="1"/>
        <v>18</v>
      </c>
      <c r="K17" s="7">
        <f t="shared" si="2"/>
        <v>4</v>
      </c>
      <c r="M17" s="26">
        <f t="shared" si="3"/>
        <v>1.2413793103448276</v>
      </c>
      <c r="O17" s="46">
        <f t="shared" si="6"/>
        <v>48.93020689655173</v>
      </c>
      <c r="Q17" s="7"/>
      <c r="R17" s="7"/>
      <c r="S17" s="7"/>
    </row>
    <row r="18" spans="2:19" ht="12.75">
      <c r="B18" s="78"/>
      <c r="C18" s="74" t="s">
        <v>72</v>
      </c>
      <c r="E18" s="79">
        <v>6.14</v>
      </c>
      <c r="F18" s="79">
        <v>2.6</v>
      </c>
      <c r="G18" s="7">
        <f t="shared" si="5"/>
        <v>15.964</v>
      </c>
      <c r="H18" s="109" t="s">
        <v>4</v>
      </c>
      <c r="I18" s="31"/>
      <c r="J18" s="7">
        <f t="shared" si="1"/>
        <v>12.5</v>
      </c>
      <c r="K18" s="7">
        <f t="shared" si="2"/>
        <v>9.5</v>
      </c>
      <c r="M18" s="26">
        <f t="shared" si="3"/>
        <v>1.339285714285714</v>
      </c>
      <c r="O18" s="46">
        <f t="shared" si="6"/>
        <v>203.11339285714283</v>
      </c>
      <c r="Q18" s="7"/>
      <c r="R18" s="7"/>
      <c r="S18" s="7"/>
    </row>
    <row r="19" spans="2:19" ht="12.75">
      <c r="B19" s="78" t="s">
        <v>129</v>
      </c>
      <c r="C19" s="74" t="s">
        <v>68</v>
      </c>
      <c r="E19" s="79">
        <v>5.07</v>
      </c>
      <c r="F19" s="79">
        <v>2.6</v>
      </c>
      <c r="G19" s="7">
        <f t="shared" si="5"/>
        <v>13.182</v>
      </c>
      <c r="H19" s="109" t="s">
        <v>18</v>
      </c>
      <c r="I19" s="31"/>
      <c r="J19" s="7">
        <f t="shared" si="1"/>
        <v>-10</v>
      </c>
      <c r="K19" s="7">
        <f t="shared" si="2"/>
        <v>32</v>
      </c>
      <c r="M19" s="26">
        <f t="shared" si="3"/>
        <v>0.3363789944858009</v>
      </c>
      <c r="O19" s="46">
        <f t="shared" si="6"/>
        <v>141.89273296997848</v>
      </c>
      <c r="Q19" s="7"/>
      <c r="R19" s="7"/>
      <c r="S19" s="7"/>
    </row>
    <row r="20" spans="2:19" ht="12.75">
      <c r="B20" s="78"/>
      <c r="C20" s="74" t="s">
        <v>68</v>
      </c>
      <c r="E20" s="79">
        <v>-2.2</v>
      </c>
      <c r="F20" s="79">
        <v>0.9</v>
      </c>
      <c r="G20" s="7">
        <f t="shared" si="5"/>
        <v>-1.9800000000000002</v>
      </c>
      <c r="H20" s="109" t="s">
        <v>18</v>
      </c>
      <c r="I20" s="31"/>
      <c r="J20" s="7">
        <f t="shared" si="1"/>
        <v>-10</v>
      </c>
      <c r="K20" s="7">
        <f t="shared" si="2"/>
        <v>32</v>
      </c>
      <c r="M20" s="26">
        <f t="shared" si="3"/>
        <v>0.3363789944858009</v>
      </c>
      <c r="O20" s="46">
        <f t="shared" si="6"/>
        <v>-21.312973090620346</v>
      </c>
      <c r="Q20" s="7"/>
      <c r="R20" s="7"/>
      <c r="S20" s="7"/>
    </row>
    <row r="21" spans="2:19" ht="12.75">
      <c r="B21" s="78"/>
      <c r="C21" s="74" t="s">
        <v>73</v>
      </c>
      <c r="E21" s="79">
        <v>2.2</v>
      </c>
      <c r="F21" s="79">
        <v>0.9</v>
      </c>
      <c r="G21" s="7">
        <f t="shared" si="5"/>
        <v>1.9800000000000002</v>
      </c>
      <c r="H21" s="109" t="s">
        <v>18</v>
      </c>
      <c r="I21" s="31"/>
      <c r="J21" s="7">
        <f t="shared" si="1"/>
        <v>-10</v>
      </c>
      <c r="K21" s="7">
        <f t="shared" si="2"/>
        <v>32</v>
      </c>
      <c r="M21" s="26">
        <f t="shared" si="3"/>
        <v>1.7349999999999999</v>
      </c>
      <c r="O21" s="46">
        <f t="shared" si="6"/>
        <v>109.92960000000001</v>
      </c>
      <c r="Q21" s="7"/>
      <c r="R21" s="7"/>
      <c r="S21" s="7"/>
    </row>
    <row r="22" spans="2:19" ht="12.75">
      <c r="B22" s="78" t="s">
        <v>130</v>
      </c>
      <c r="C22" s="74" t="s">
        <v>73</v>
      </c>
      <c r="E22" s="79">
        <v>14.88</v>
      </c>
      <c r="F22" s="79">
        <v>2.6</v>
      </c>
      <c r="G22" s="7">
        <f t="shared" si="5"/>
        <v>38.688</v>
      </c>
      <c r="H22" s="109" t="s">
        <v>18</v>
      </c>
      <c r="I22" s="31"/>
      <c r="J22" s="7">
        <f t="shared" si="1"/>
        <v>-10</v>
      </c>
      <c r="K22" s="7">
        <f t="shared" si="2"/>
        <v>32</v>
      </c>
      <c r="M22" s="26">
        <f t="shared" si="3"/>
        <v>1.7349999999999999</v>
      </c>
      <c r="O22" s="46">
        <f t="shared" si="6"/>
        <v>2147.95776</v>
      </c>
      <c r="Q22" s="7"/>
      <c r="R22" s="7"/>
      <c r="S22" s="7"/>
    </row>
    <row r="23" spans="2:19" ht="12.75">
      <c r="B23" s="78" t="s">
        <v>131</v>
      </c>
      <c r="C23" s="74" t="s">
        <v>68</v>
      </c>
      <c r="E23" s="79">
        <v>5.07</v>
      </c>
      <c r="F23" s="79">
        <v>2.6</v>
      </c>
      <c r="G23" s="7">
        <f t="shared" si="5"/>
        <v>13.182</v>
      </c>
      <c r="H23" s="109" t="s">
        <v>18</v>
      </c>
      <c r="I23" s="31"/>
      <c r="J23" s="7">
        <f t="shared" si="1"/>
        <v>-10</v>
      </c>
      <c r="K23" s="7">
        <f t="shared" si="2"/>
        <v>32</v>
      </c>
      <c r="M23" s="26">
        <f t="shared" si="3"/>
        <v>0.3363789944858009</v>
      </c>
      <c r="O23" s="46">
        <f t="shared" si="6"/>
        <v>141.89273296997848</v>
      </c>
      <c r="Q23" s="7"/>
      <c r="R23" s="7"/>
      <c r="S23" s="7"/>
    </row>
    <row r="24" spans="2:19" ht="12.75">
      <c r="B24" s="78"/>
      <c r="C24" s="74"/>
      <c r="E24" s="79"/>
      <c r="F24" s="79"/>
      <c r="G24" s="7"/>
      <c r="H24" s="109"/>
      <c r="I24" s="31"/>
      <c r="J24" s="48"/>
      <c r="K24" s="48"/>
      <c r="L24" s="49"/>
      <c r="M24" s="50" t="s">
        <v>169</v>
      </c>
      <c r="N24" s="51" t="s">
        <v>158</v>
      </c>
      <c r="O24" s="47">
        <f>SUM(O7:O23)</f>
        <v>3337.715541045858</v>
      </c>
      <c r="Q24" s="7"/>
      <c r="R24" s="7"/>
      <c r="S24" s="7"/>
    </row>
    <row r="25" spans="1:19" ht="12.75">
      <c r="A25" t="s">
        <v>0</v>
      </c>
      <c r="B25" s="78"/>
      <c r="C25" s="74" t="s">
        <v>63</v>
      </c>
      <c r="E25" s="79">
        <v>2.9</v>
      </c>
      <c r="F25" s="79">
        <v>3.6</v>
      </c>
      <c r="G25" s="7">
        <f t="shared" si="5"/>
        <v>10.44</v>
      </c>
      <c r="H25" s="109" t="s">
        <v>17</v>
      </c>
      <c r="I25" s="31"/>
      <c r="J25" s="7">
        <f aca="true" t="shared" si="7" ref="J25:J38">LOOKUP(H25,H$210:H$225,J$210:J$225)</f>
        <v>5</v>
      </c>
      <c r="K25" s="7">
        <f aca="true" t="shared" si="8" ref="K25:K38">Q$25-J25</f>
        <v>13</v>
      </c>
      <c r="M25" s="26">
        <f aca="true" t="shared" si="9" ref="M25:M38">LOOKUP(C25,C$210:C$228,M$210:M$228)</f>
        <v>0.1828746335799458</v>
      </c>
      <c r="O25" s="46">
        <f t="shared" si="6"/>
        <v>24.819745269470243</v>
      </c>
      <c r="Q25" s="7">
        <f>Temperaturen!B5</f>
        <v>18</v>
      </c>
      <c r="R25" s="7"/>
      <c r="S25" s="7">
        <f>'Oppervlaktes &amp; Volumes'!I5</f>
        <v>24.856</v>
      </c>
    </row>
    <row r="26" spans="1:19" ht="12.75">
      <c r="A26" t="s">
        <v>127</v>
      </c>
      <c r="B26" s="78"/>
      <c r="C26" s="74" t="s">
        <v>65</v>
      </c>
      <c r="E26" s="79">
        <v>2.9</v>
      </c>
      <c r="F26" s="79">
        <v>3.6</v>
      </c>
      <c r="G26" s="7">
        <f t="shared" si="5"/>
        <v>10.44</v>
      </c>
      <c r="H26" s="109" t="s">
        <v>6</v>
      </c>
      <c r="I26" s="31"/>
      <c r="J26" s="7">
        <f t="shared" si="7"/>
        <v>23</v>
      </c>
      <c r="K26" s="7">
        <f t="shared" si="8"/>
        <v>-5</v>
      </c>
      <c r="M26" s="26">
        <f t="shared" si="9"/>
        <v>1.9676248953391011</v>
      </c>
      <c r="O26" s="46">
        <f t="shared" si="6"/>
        <v>-102.71001953670107</v>
      </c>
      <c r="Q26" s="7"/>
      <c r="R26" s="7"/>
      <c r="S26" s="7"/>
    </row>
    <row r="27" spans="2:19" ht="12.75">
      <c r="B27" s="78" t="s">
        <v>128</v>
      </c>
      <c r="C27" s="74" t="s">
        <v>68</v>
      </c>
      <c r="E27" s="79">
        <v>2.9</v>
      </c>
      <c r="F27" s="79">
        <v>2.6</v>
      </c>
      <c r="G27" s="7">
        <f t="shared" si="5"/>
        <v>7.54</v>
      </c>
      <c r="H27" s="109" t="s">
        <v>18</v>
      </c>
      <c r="I27" s="31"/>
      <c r="J27" s="7">
        <f t="shared" si="7"/>
        <v>-10</v>
      </c>
      <c r="K27" s="7">
        <f t="shared" si="8"/>
        <v>28</v>
      </c>
      <c r="M27" s="26">
        <f t="shared" si="9"/>
        <v>0.3363789944858009</v>
      </c>
      <c r="O27" s="46">
        <f t="shared" si="6"/>
        <v>71.01633331584227</v>
      </c>
      <c r="Q27" s="7"/>
      <c r="R27" s="7"/>
      <c r="S27" s="7"/>
    </row>
    <row r="28" spans="2:19" ht="12.75">
      <c r="B28" s="78" t="s">
        <v>129</v>
      </c>
      <c r="C28" s="74" t="s">
        <v>68</v>
      </c>
      <c r="E28" s="79">
        <v>1.8</v>
      </c>
      <c r="F28" s="79">
        <v>2.6</v>
      </c>
      <c r="G28" s="7">
        <f t="shared" si="5"/>
        <v>4.680000000000001</v>
      </c>
      <c r="H28" s="109" t="s">
        <v>18</v>
      </c>
      <c r="I28" s="31"/>
      <c r="J28" s="7">
        <f t="shared" si="7"/>
        <v>-10</v>
      </c>
      <c r="K28" s="7">
        <f t="shared" si="8"/>
        <v>28</v>
      </c>
      <c r="M28" s="26">
        <f t="shared" si="9"/>
        <v>0.3363789944858009</v>
      </c>
      <c r="O28" s="46">
        <f t="shared" si="6"/>
        <v>44.07910343741935</v>
      </c>
      <c r="Q28" s="7"/>
      <c r="R28" s="7"/>
      <c r="S28" s="7"/>
    </row>
    <row r="29" spans="2:19" ht="12.75">
      <c r="B29" s="78"/>
      <c r="C29" s="74" t="s">
        <v>69</v>
      </c>
      <c r="E29" s="79">
        <v>1.8</v>
      </c>
      <c r="F29" s="79">
        <v>2.6</v>
      </c>
      <c r="G29" s="7">
        <f t="shared" si="5"/>
        <v>4.680000000000001</v>
      </c>
      <c r="H29" s="109" t="s">
        <v>18</v>
      </c>
      <c r="I29" s="31"/>
      <c r="J29" s="7">
        <f t="shared" si="7"/>
        <v>-10</v>
      </c>
      <c r="K29" s="7">
        <f t="shared" si="8"/>
        <v>28</v>
      </c>
      <c r="M29" s="26">
        <f t="shared" si="9"/>
        <v>0.1496900533137169</v>
      </c>
      <c r="O29" s="46">
        <f>M29*K29*G29</f>
        <v>19.615384586229467</v>
      </c>
      <c r="Q29" s="7"/>
      <c r="R29" s="7"/>
      <c r="S29" s="7"/>
    </row>
    <row r="30" spans="2:19" ht="12.75">
      <c r="B30" s="78"/>
      <c r="C30" s="74" t="s">
        <v>69</v>
      </c>
      <c r="E30" s="79">
        <v>-1.8</v>
      </c>
      <c r="F30" s="79">
        <v>0.7</v>
      </c>
      <c r="G30" s="7">
        <f t="shared" si="5"/>
        <v>-1.26</v>
      </c>
      <c r="H30" s="109" t="s">
        <v>18</v>
      </c>
      <c r="I30" s="31"/>
      <c r="J30" s="7">
        <f t="shared" si="7"/>
        <v>-10</v>
      </c>
      <c r="K30" s="7">
        <f t="shared" si="8"/>
        <v>28</v>
      </c>
      <c r="M30" s="26">
        <f t="shared" si="9"/>
        <v>0.1496900533137169</v>
      </c>
      <c r="O30" s="46">
        <f t="shared" si="6"/>
        <v>-5.281065080907933</v>
      </c>
      <c r="Q30" s="7"/>
      <c r="R30" s="7"/>
      <c r="S30" s="7"/>
    </row>
    <row r="31" spans="2:19" ht="12.75">
      <c r="B31" s="78"/>
      <c r="C31" s="74" t="s">
        <v>73</v>
      </c>
      <c r="E31" s="79">
        <v>1.8</v>
      </c>
      <c r="F31" s="79">
        <v>0.7</v>
      </c>
      <c r="G31" s="7">
        <f t="shared" si="5"/>
        <v>1.26</v>
      </c>
      <c r="H31" s="109" t="s">
        <v>18</v>
      </c>
      <c r="I31" s="31"/>
      <c r="J31" s="7">
        <f t="shared" si="7"/>
        <v>-10</v>
      </c>
      <c r="K31" s="7">
        <f t="shared" si="8"/>
        <v>28</v>
      </c>
      <c r="M31" s="26">
        <f t="shared" si="9"/>
        <v>1.7349999999999999</v>
      </c>
      <c r="O31" s="46">
        <f t="shared" si="6"/>
        <v>61.2108</v>
      </c>
      <c r="Q31" s="7"/>
      <c r="R31" s="7"/>
      <c r="S31" s="7"/>
    </row>
    <row r="32" spans="2:19" ht="12.75">
      <c r="B32" s="78" t="s">
        <v>130</v>
      </c>
      <c r="C32" s="74" t="s">
        <v>70</v>
      </c>
      <c r="E32" s="79">
        <v>2.9</v>
      </c>
      <c r="F32" s="79">
        <v>2.6</v>
      </c>
      <c r="G32" s="7">
        <f t="shared" si="5"/>
        <v>7.54</v>
      </c>
      <c r="H32" s="109" t="s">
        <v>134</v>
      </c>
      <c r="I32" s="31"/>
      <c r="J32" s="7">
        <f t="shared" si="7"/>
        <v>22</v>
      </c>
      <c r="K32" s="7">
        <f t="shared" si="8"/>
        <v>-4</v>
      </c>
      <c r="M32" s="26">
        <f t="shared" si="9"/>
        <v>1.2875536480686693</v>
      </c>
      <c r="O32" s="46">
        <f t="shared" si="6"/>
        <v>-38.83261802575107</v>
      </c>
      <c r="Q32" s="7"/>
      <c r="R32" s="7"/>
      <c r="S32" s="7"/>
    </row>
    <row r="33" spans="2:19" ht="12.75">
      <c r="B33" s="78"/>
      <c r="C33" s="74" t="s">
        <v>70</v>
      </c>
      <c r="E33" s="79">
        <v>-0.9</v>
      </c>
      <c r="F33" s="79">
        <v>2</v>
      </c>
      <c r="G33" s="7">
        <f t="shared" si="5"/>
        <v>-1.8</v>
      </c>
      <c r="H33" s="109" t="s">
        <v>134</v>
      </c>
      <c r="I33" s="31"/>
      <c r="J33" s="7">
        <f t="shared" si="7"/>
        <v>22</v>
      </c>
      <c r="K33" s="7">
        <f t="shared" si="8"/>
        <v>-4</v>
      </c>
      <c r="M33" s="26">
        <f t="shared" si="9"/>
        <v>1.2875536480686693</v>
      </c>
      <c r="O33" s="46">
        <f t="shared" si="6"/>
        <v>9.27038626609442</v>
      </c>
      <c r="Q33" s="7"/>
      <c r="R33" s="7"/>
      <c r="S33" s="7"/>
    </row>
    <row r="34" spans="2:19" ht="12.75">
      <c r="B34" s="78"/>
      <c r="C34" s="74" t="s">
        <v>75</v>
      </c>
      <c r="E34" s="79">
        <v>0.9</v>
      </c>
      <c r="F34" s="79">
        <v>2</v>
      </c>
      <c r="G34" s="7">
        <f t="shared" si="5"/>
        <v>1.8</v>
      </c>
      <c r="H34" s="109" t="s">
        <v>134</v>
      </c>
      <c r="I34" s="31"/>
      <c r="J34" s="7">
        <f t="shared" si="7"/>
        <v>22</v>
      </c>
      <c r="K34" s="7">
        <f t="shared" si="8"/>
        <v>-4</v>
      </c>
      <c r="M34" s="26">
        <f t="shared" si="9"/>
        <v>1.2413793103448276</v>
      </c>
      <c r="O34" s="46">
        <f t="shared" si="6"/>
        <v>-8.937931034482759</v>
      </c>
      <c r="Q34" s="7"/>
      <c r="R34" s="7"/>
      <c r="S34" s="7"/>
    </row>
    <row r="35" spans="2:19" ht="12.75">
      <c r="B35" s="78" t="s">
        <v>131</v>
      </c>
      <c r="C35" s="74" t="s">
        <v>70</v>
      </c>
      <c r="E35" s="79">
        <v>2.6</v>
      </c>
      <c r="F35" s="79">
        <v>2.6</v>
      </c>
      <c r="G35" s="7">
        <f t="shared" si="5"/>
        <v>6.760000000000001</v>
      </c>
      <c r="H35" s="109" t="s">
        <v>1</v>
      </c>
      <c r="I35" s="31"/>
      <c r="J35" s="7">
        <f t="shared" si="7"/>
        <v>18</v>
      </c>
      <c r="K35" s="7">
        <f t="shared" si="8"/>
        <v>0</v>
      </c>
      <c r="M35" s="26">
        <f t="shared" si="9"/>
        <v>1.2875536480686693</v>
      </c>
      <c r="O35" s="46">
        <f t="shared" si="6"/>
        <v>0</v>
      </c>
      <c r="Q35" s="7"/>
      <c r="R35" s="7"/>
      <c r="S35" s="7"/>
    </row>
    <row r="36" spans="2:19" ht="12.75">
      <c r="B36" s="78"/>
      <c r="C36" s="74" t="s">
        <v>70</v>
      </c>
      <c r="E36" s="79">
        <v>-0.9</v>
      </c>
      <c r="F36" s="79">
        <v>2</v>
      </c>
      <c r="G36" s="7">
        <f t="shared" si="5"/>
        <v>-1.8</v>
      </c>
      <c r="H36" s="109" t="s">
        <v>1</v>
      </c>
      <c r="I36" s="31"/>
      <c r="J36" s="7">
        <f t="shared" si="7"/>
        <v>18</v>
      </c>
      <c r="K36" s="7">
        <f t="shared" si="8"/>
        <v>0</v>
      </c>
      <c r="M36" s="26">
        <f t="shared" si="9"/>
        <v>1.2875536480686693</v>
      </c>
      <c r="O36" s="46">
        <f t="shared" si="6"/>
        <v>0</v>
      </c>
      <c r="Q36" s="7"/>
      <c r="R36" s="7"/>
      <c r="S36" s="7"/>
    </row>
    <row r="37" spans="2:19" ht="12.75">
      <c r="B37" s="78"/>
      <c r="C37" s="74" t="s">
        <v>75</v>
      </c>
      <c r="E37" s="79">
        <v>0.9</v>
      </c>
      <c r="F37" s="79">
        <v>2</v>
      </c>
      <c r="G37" s="7">
        <f t="shared" si="5"/>
        <v>1.8</v>
      </c>
      <c r="H37" s="109" t="s">
        <v>1</v>
      </c>
      <c r="I37" s="31"/>
      <c r="J37" s="7">
        <f t="shared" si="7"/>
        <v>18</v>
      </c>
      <c r="K37" s="7">
        <f t="shared" si="8"/>
        <v>0</v>
      </c>
      <c r="M37" s="26">
        <f t="shared" si="9"/>
        <v>1.2413793103448276</v>
      </c>
      <c r="O37" s="46">
        <f t="shared" si="6"/>
        <v>0</v>
      </c>
      <c r="Q37" s="7"/>
      <c r="R37" s="7"/>
      <c r="S37" s="7"/>
    </row>
    <row r="38" spans="2:19" ht="12.75">
      <c r="B38" s="78"/>
      <c r="C38" s="74" t="s">
        <v>70</v>
      </c>
      <c r="E38" s="79">
        <v>0.99</v>
      </c>
      <c r="F38" s="79">
        <v>2.6</v>
      </c>
      <c r="G38" s="7">
        <f t="shared" si="5"/>
        <v>2.574</v>
      </c>
      <c r="H38" s="109" t="s">
        <v>2</v>
      </c>
      <c r="I38" s="31"/>
      <c r="J38" s="7">
        <f t="shared" si="7"/>
        <v>18</v>
      </c>
      <c r="K38" s="7">
        <f t="shared" si="8"/>
        <v>0</v>
      </c>
      <c r="M38" s="26">
        <f t="shared" si="9"/>
        <v>1.2875536480686693</v>
      </c>
      <c r="O38" s="46">
        <f t="shared" si="6"/>
        <v>0</v>
      </c>
      <c r="Q38" s="7"/>
      <c r="R38" s="7"/>
      <c r="S38" s="7"/>
    </row>
    <row r="39" spans="2:19" ht="12.75">
      <c r="B39" s="78"/>
      <c r="C39" s="74"/>
      <c r="E39" s="79"/>
      <c r="F39" s="79"/>
      <c r="G39" s="7"/>
      <c r="H39" s="109"/>
      <c r="I39" s="31"/>
      <c r="J39" s="48"/>
      <c r="K39" s="48"/>
      <c r="L39" s="49"/>
      <c r="M39" s="50" t="s">
        <v>170</v>
      </c>
      <c r="N39" s="51" t="s">
        <v>158</v>
      </c>
      <c r="O39" s="47">
        <f>SUM(O25:O38)</f>
        <v>74.25011919721292</v>
      </c>
      <c r="Q39" s="7"/>
      <c r="R39" s="7"/>
      <c r="S39" s="7"/>
    </row>
    <row r="40" spans="1:19" ht="12.75">
      <c r="A40" t="s">
        <v>153</v>
      </c>
      <c r="B40" s="78"/>
      <c r="C40" s="74" t="s">
        <v>63</v>
      </c>
      <c r="E40" s="79">
        <v>1.85</v>
      </c>
      <c r="F40" s="79">
        <v>0.9</v>
      </c>
      <c r="G40" s="7">
        <f t="shared" si="5"/>
        <v>1.665</v>
      </c>
      <c r="H40" s="109" t="s">
        <v>17</v>
      </c>
      <c r="I40" s="31"/>
      <c r="J40" s="7">
        <f aca="true" t="shared" si="10" ref="J40:J47">LOOKUP(H40,H$210:H$225,J$210:J$225)</f>
        <v>5</v>
      </c>
      <c r="K40" s="7">
        <f>Q$40-J40</f>
        <v>13</v>
      </c>
      <c r="M40" s="26">
        <f aca="true" t="shared" si="11" ref="M40:M47">LOOKUP(C40,C$210:C$228,M$210:M$228)</f>
        <v>0.1828746335799458</v>
      </c>
      <c r="O40" s="46">
        <f t="shared" si="6"/>
        <v>3.9583214438379266</v>
      </c>
      <c r="Q40" s="7">
        <f>Temperaturen!B17</f>
        <v>18</v>
      </c>
      <c r="R40" s="7"/>
      <c r="S40" s="7">
        <f>'Oppervlaktes &amp; Volumes'!I8</f>
        <v>4.329000000000001</v>
      </c>
    </row>
    <row r="41" spans="2:19" ht="12.75">
      <c r="B41" s="78"/>
      <c r="C41" s="74" t="s">
        <v>65</v>
      </c>
      <c r="E41" s="79">
        <v>1.85</v>
      </c>
      <c r="F41" s="79">
        <v>0.9</v>
      </c>
      <c r="G41" s="7">
        <f t="shared" si="5"/>
        <v>1.665</v>
      </c>
      <c r="H41" s="109" t="s">
        <v>7</v>
      </c>
      <c r="I41" s="31"/>
      <c r="J41" s="7">
        <f t="shared" si="10"/>
        <v>18</v>
      </c>
      <c r="K41" s="7">
        <f aca="true" t="shared" si="12" ref="K41:K47">Q$40-J41</f>
        <v>0</v>
      </c>
      <c r="M41" s="26">
        <f t="shared" si="11"/>
        <v>1.9676248953391011</v>
      </c>
      <c r="O41" s="46">
        <f t="shared" si="6"/>
        <v>0</v>
      </c>
      <c r="Q41" s="7"/>
      <c r="R41" s="7"/>
      <c r="S41" s="7"/>
    </row>
    <row r="42" spans="2:19" ht="12.75">
      <c r="B42" s="78" t="s">
        <v>128</v>
      </c>
      <c r="C42" s="74" t="s">
        <v>68</v>
      </c>
      <c r="E42" s="79">
        <v>1.85</v>
      </c>
      <c r="F42" s="79">
        <v>2.6</v>
      </c>
      <c r="G42" s="7">
        <f t="shared" si="5"/>
        <v>4.8100000000000005</v>
      </c>
      <c r="H42" s="109" t="s">
        <v>18</v>
      </c>
      <c r="I42" s="31"/>
      <c r="J42" s="7">
        <f t="shared" si="10"/>
        <v>-10</v>
      </c>
      <c r="K42" s="7">
        <f t="shared" si="12"/>
        <v>28</v>
      </c>
      <c r="M42" s="26">
        <f t="shared" si="11"/>
        <v>0.3363789944858009</v>
      </c>
      <c r="O42" s="46">
        <f t="shared" si="6"/>
        <v>45.30352297734766</v>
      </c>
      <c r="Q42" s="7"/>
      <c r="R42" s="7"/>
      <c r="S42" s="7"/>
    </row>
    <row r="43" spans="2:19" ht="12.75">
      <c r="B43" s="78" t="s">
        <v>129</v>
      </c>
      <c r="C43" s="74" t="s">
        <v>70</v>
      </c>
      <c r="E43" s="79">
        <v>0.9</v>
      </c>
      <c r="F43" s="79">
        <v>2.6</v>
      </c>
      <c r="G43" s="7">
        <f t="shared" si="5"/>
        <v>2.3400000000000003</v>
      </c>
      <c r="H43" s="109" t="s">
        <v>0</v>
      </c>
      <c r="I43" s="31"/>
      <c r="J43" s="7">
        <f t="shared" si="10"/>
        <v>18</v>
      </c>
      <c r="K43" s="7">
        <f t="shared" si="12"/>
        <v>0</v>
      </c>
      <c r="M43" s="26">
        <f t="shared" si="11"/>
        <v>1.2875536480686693</v>
      </c>
      <c r="O43" s="46">
        <f t="shared" si="6"/>
        <v>0</v>
      </c>
      <c r="Q43" s="7"/>
      <c r="R43" s="7"/>
      <c r="S43" s="7"/>
    </row>
    <row r="44" spans="2:19" ht="12.75">
      <c r="B44" s="78" t="s">
        <v>130</v>
      </c>
      <c r="C44" s="74" t="s">
        <v>71</v>
      </c>
      <c r="E44" s="79">
        <v>1.85</v>
      </c>
      <c r="F44" s="79">
        <v>2.6</v>
      </c>
      <c r="G44" s="7">
        <f t="shared" si="5"/>
        <v>4.8100000000000005</v>
      </c>
      <c r="H44" s="109" t="s">
        <v>1</v>
      </c>
      <c r="I44" s="31"/>
      <c r="J44" s="7">
        <f t="shared" si="10"/>
        <v>18</v>
      </c>
      <c r="K44" s="7">
        <f t="shared" si="12"/>
        <v>0</v>
      </c>
      <c r="M44" s="26">
        <f t="shared" si="11"/>
        <v>1.6393442622950818</v>
      </c>
      <c r="O44" s="46">
        <f t="shared" si="6"/>
        <v>0</v>
      </c>
      <c r="Q44" s="7"/>
      <c r="R44" s="7"/>
      <c r="S44" s="7"/>
    </row>
    <row r="45" spans="2:19" ht="12.75">
      <c r="B45" s="78"/>
      <c r="C45" s="74" t="s">
        <v>71</v>
      </c>
      <c r="E45" s="79">
        <v>-0.9</v>
      </c>
      <c r="F45" s="79">
        <v>2</v>
      </c>
      <c r="G45" s="7">
        <f t="shared" si="5"/>
        <v>-1.8</v>
      </c>
      <c r="H45" s="109" t="s">
        <v>1</v>
      </c>
      <c r="I45" s="31"/>
      <c r="J45" s="7">
        <f t="shared" si="10"/>
        <v>18</v>
      </c>
      <c r="K45" s="7">
        <f t="shared" si="12"/>
        <v>0</v>
      </c>
      <c r="M45" s="26">
        <f t="shared" si="11"/>
        <v>1.6393442622950818</v>
      </c>
      <c r="O45" s="46">
        <f t="shared" si="6"/>
        <v>0</v>
      </c>
      <c r="Q45" s="7"/>
      <c r="R45" s="7"/>
      <c r="S45" s="7"/>
    </row>
    <row r="46" spans="2:19" ht="12.75">
      <c r="B46" s="78"/>
      <c r="C46" s="74" t="s">
        <v>75</v>
      </c>
      <c r="E46" s="79">
        <v>0.9</v>
      </c>
      <c r="F46" s="79">
        <v>2</v>
      </c>
      <c r="G46" s="7">
        <f t="shared" si="5"/>
        <v>1.8</v>
      </c>
      <c r="H46" s="109" t="s">
        <v>1</v>
      </c>
      <c r="I46" s="31"/>
      <c r="J46" s="7">
        <f t="shared" si="10"/>
        <v>18</v>
      </c>
      <c r="K46" s="7">
        <f t="shared" si="12"/>
        <v>0</v>
      </c>
      <c r="M46" s="26">
        <f t="shared" si="11"/>
        <v>1.2413793103448276</v>
      </c>
      <c r="O46" s="46">
        <f t="shared" si="6"/>
        <v>0</v>
      </c>
      <c r="Q46" s="7"/>
      <c r="R46" s="7"/>
      <c r="S46" s="7"/>
    </row>
    <row r="47" spans="2:19" ht="12.75">
      <c r="B47" s="78" t="s">
        <v>131</v>
      </c>
      <c r="C47" s="74" t="s">
        <v>71</v>
      </c>
      <c r="E47" s="79">
        <v>0.9</v>
      </c>
      <c r="F47" s="79">
        <v>2.6</v>
      </c>
      <c r="G47" s="7">
        <f t="shared" si="5"/>
        <v>2.3400000000000003</v>
      </c>
      <c r="H47" s="109" t="s">
        <v>3</v>
      </c>
      <c r="I47" s="31"/>
      <c r="J47" s="7">
        <f t="shared" si="10"/>
        <v>18</v>
      </c>
      <c r="K47" s="7">
        <f t="shared" si="12"/>
        <v>0</v>
      </c>
      <c r="M47" s="26">
        <f t="shared" si="11"/>
        <v>1.6393442622950818</v>
      </c>
      <c r="O47" s="46">
        <f t="shared" si="6"/>
        <v>0</v>
      </c>
      <c r="Q47" s="7"/>
      <c r="R47" s="7"/>
      <c r="S47" s="7"/>
    </row>
    <row r="48" spans="2:19" ht="12.75">
      <c r="B48" s="78"/>
      <c r="C48" s="74"/>
      <c r="E48" s="79"/>
      <c r="F48" s="79"/>
      <c r="G48" s="7"/>
      <c r="H48" s="109"/>
      <c r="I48" s="31"/>
      <c r="J48" s="48"/>
      <c r="K48" s="48"/>
      <c r="L48" s="49"/>
      <c r="M48" s="50" t="s">
        <v>171</v>
      </c>
      <c r="N48" s="51" t="s">
        <v>158</v>
      </c>
      <c r="O48" s="47">
        <f>SUM(O40:O47)</f>
        <v>49.261844421185586</v>
      </c>
      <c r="Q48" s="7"/>
      <c r="R48" s="7"/>
      <c r="S48" s="7"/>
    </row>
    <row r="49" spans="1:19" ht="12.75">
      <c r="A49" t="s">
        <v>1</v>
      </c>
      <c r="B49" s="78"/>
      <c r="C49" s="74" t="s">
        <v>63</v>
      </c>
      <c r="E49" s="79">
        <v>1.85</v>
      </c>
      <c r="F49" s="79">
        <v>2.6</v>
      </c>
      <c r="G49" s="7">
        <f t="shared" si="5"/>
        <v>4.8100000000000005</v>
      </c>
      <c r="H49" s="109" t="s">
        <v>17</v>
      </c>
      <c r="I49" s="31"/>
      <c r="J49" s="7">
        <f aca="true" t="shared" si="13" ref="J49:J58">LOOKUP(H49,H$210:H$225,J$210:J$225)</f>
        <v>5</v>
      </c>
      <c r="K49" s="7">
        <f>Q$49-J49</f>
        <v>13</v>
      </c>
      <c r="M49" s="26">
        <f aca="true" t="shared" si="14" ref="M49:M58">LOOKUP(C49,C$210:C$228,M$210:M$228)</f>
        <v>0.1828746335799458</v>
      </c>
      <c r="O49" s="46">
        <f t="shared" si="6"/>
        <v>11.435150837754012</v>
      </c>
      <c r="Q49" s="7">
        <f>Temperaturen!B16</f>
        <v>18</v>
      </c>
      <c r="R49" s="7"/>
      <c r="S49" s="7">
        <f>'Oppervlaktes &amp; Volumes'!I7</f>
        <v>8.658000000000001</v>
      </c>
    </row>
    <row r="50" spans="1:19" ht="12.75">
      <c r="A50" t="s">
        <v>127</v>
      </c>
      <c r="B50" s="78"/>
      <c r="C50" s="74" t="s">
        <v>65</v>
      </c>
      <c r="E50" s="79">
        <v>1.85</v>
      </c>
      <c r="F50" s="79">
        <v>2.6</v>
      </c>
      <c r="G50" s="7">
        <f t="shared" si="5"/>
        <v>4.8100000000000005</v>
      </c>
      <c r="H50" s="109" t="s">
        <v>6</v>
      </c>
      <c r="I50" s="31"/>
      <c r="J50" s="7">
        <f t="shared" si="13"/>
        <v>23</v>
      </c>
      <c r="K50" s="7">
        <f aca="true" t="shared" si="15" ref="K50:K58">Q$49-J50</f>
        <v>-5</v>
      </c>
      <c r="M50" s="26">
        <f t="shared" si="14"/>
        <v>1.9676248953391011</v>
      </c>
      <c r="O50" s="46">
        <f t="shared" si="6"/>
        <v>-47.32137873290538</v>
      </c>
      <c r="Q50" s="7"/>
      <c r="R50" s="7"/>
      <c r="S50" s="7"/>
    </row>
    <row r="51" spans="2:19" ht="12.75">
      <c r="B51" s="78" t="s">
        <v>128</v>
      </c>
      <c r="C51" s="74" t="s">
        <v>71</v>
      </c>
      <c r="E51" s="79">
        <v>1.85</v>
      </c>
      <c r="F51" s="79">
        <v>2.6</v>
      </c>
      <c r="G51" s="7">
        <f aca="true" t="shared" si="16" ref="G51:G92">E51*F51</f>
        <v>4.8100000000000005</v>
      </c>
      <c r="H51" s="109" t="s">
        <v>2</v>
      </c>
      <c r="I51" s="31"/>
      <c r="J51" s="7">
        <f t="shared" si="13"/>
        <v>18</v>
      </c>
      <c r="K51" s="7">
        <f t="shared" si="15"/>
        <v>0</v>
      </c>
      <c r="M51" s="26">
        <f t="shared" si="14"/>
        <v>1.6393442622950818</v>
      </c>
      <c r="O51" s="46">
        <f aca="true" t="shared" si="17" ref="O51:O92">M51*K51*G51</f>
        <v>0</v>
      </c>
      <c r="Q51" s="7"/>
      <c r="R51" s="7"/>
      <c r="S51" s="7"/>
    </row>
    <row r="52" spans="2:19" ht="12.75">
      <c r="B52" s="78"/>
      <c r="C52" s="74" t="s">
        <v>71</v>
      </c>
      <c r="E52" s="79">
        <v>-0.9</v>
      </c>
      <c r="F52" s="79">
        <v>2</v>
      </c>
      <c r="G52" s="7">
        <f t="shared" si="16"/>
        <v>-1.8</v>
      </c>
      <c r="H52" s="109" t="s">
        <v>2</v>
      </c>
      <c r="I52" s="31"/>
      <c r="J52" s="7">
        <f t="shared" si="13"/>
        <v>18</v>
      </c>
      <c r="K52" s="7">
        <f t="shared" si="15"/>
        <v>0</v>
      </c>
      <c r="M52" s="26">
        <f t="shared" si="14"/>
        <v>1.6393442622950818</v>
      </c>
      <c r="O52" s="46">
        <f t="shared" si="17"/>
        <v>0</v>
      </c>
      <c r="Q52" s="7"/>
      <c r="R52" s="7"/>
      <c r="S52" s="7"/>
    </row>
    <row r="53" spans="2:19" ht="12.75">
      <c r="B53" s="78"/>
      <c r="C53" s="74" t="s">
        <v>75</v>
      </c>
      <c r="E53" s="79">
        <v>0.9</v>
      </c>
      <c r="F53" s="79">
        <v>2</v>
      </c>
      <c r="G53" s="7">
        <f t="shared" si="16"/>
        <v>1.8</v>
      </c>
      <c r="H53" s="109" t="s">
        <v>2</v>
      </c>
      <c r="I53" s="31"/>
      <c r="J53" s="7">
        <f t="shared" si="13"/>
        <v>18</v>
      </c>
      <c r="K53" s="7">
        <f t="shared" si="15"/>
        <v>0</v>
      </c>
      <c r="M53" s="26">
        <f t="shared" si="14"/>
        <v>1.2413793103448276</v>
      </c>
      <c r="O53" s="46">
        <f t="shared" si="17"/>
        <v>0</v>
      </c>
      <c r="Q53" s="7"/>
      <c r="R53" s="7"/>
      <c r="S53" s="7"/>
    </row>
    <row r="54" spans="2:19" ht="12.75">
      <c r="B54" s="78" t="s">
        <v>129</v>
      </c>
      <c r="C54" s="74" t="s">
        <v>70</v>
      </c>
      <c r="E54" s="79">
        <v>2.6</v>
      </c>
      <c r="F54" s="79">
        <v>2.6</v>
      </c>
      <c r="G54" s="7">
        <f t="shared" si="16"/>
        <v>6.760000000000001</v>
      </c>
      <c r="H54" s="109" t="s">
        <v>0</v>
      </c>
      <c r="I54" s="31"/>
      <c r="J54" s="7">
        <f t="shared" si="13"/>
        <v>18</v>
      </c>
      <c r="K54" s="7">
        <f t="shared" si="15"/>
        <v>0</v>
      </c>
      <c r="M54" s="26">
        <f t="shared" si="14"/>
        <v>1.2875536480686693</v>
      </c>
      <c r="O54" s="46">
        <f t="shared" si="17"/>
        <v>0</v>
      </c>
      <c r="Q54" s="7"/>
      <c r="R54" s="7"/>
      <c r="S54" s="7"/>
    </row>
    <row r="55" spans="2:19" ht="12.75">
      <c r="B55" s="78"/>
      <c r="C55" s="74" t="s">
        <v>70</v>
      </c>
      <c r="E55" s="79">
        <v>-0.9</v>
      </c>
      <c r="F55" s="79">
        <v>2</v>
      </c>
      <c r="G55" s="7">
        <f t="shared" si="16"/>
        <v>-1.8</v>
      </c>
      <c r="H55" s="109" t="s">
        <v>0</v>
      </c>
      <c r="I55" s="31"/>
      <c r="J55" s="7">
        <f t="shared" si="13"/>
        <v>18</v>
      </c>
      <c r="K55" s="7">
        <f t="shared" si="15"/>
        <v>0</v>
      </c>
      <c r="M55" s="26">
        <f t="shared" si="14"/>
        <v>1.2875536480686693</v>
      </c>
      <c r="O55" s="46">
        <f t="shared" si="17"/>
        <v>0</v>
      </c>
      <c r="Q55" s="7"/>
      <c r="R55" s="7"/>
      <c r="S55" s="7"/>
    </row>
    <row r="56" spans="2:19" ht="12.75">
      <c r="B56" s="78"/>
      <c r="C56" s="74" t="s">
        <v>75</v>
      </c>
      <c r="E56" s="79">
        <v>0.9</v>
      </c>
      <c r="F56" s="79">
        <v>2</v>
      </c>
      <c r="G56" s="7">
        <f t="shared" si="16"/>
        <v>1.8</v>
      </c>
      <c r="H56" s="109" t="s">
        <v>0</v>
      </c>
      <c r="I56" s="31"/>
      <c r="J56" s="7">
        <f t="shared" si="13"/>
        <v>18</v>
      </c>
      <c r="K56" s="7">
        <f t="shared" si="15"/>
        <v>0</v>
      </c>
      <c r="M56" s="26">
        <f t="shared" si="14"/>
        <v>1.2413793103448276</v>
      </c>
      <c r="O56" s="46">
        <f t="shared" si="17"/>
        <v>0</v>
      </c>
      <c r="Q56" s="7"/>
      <c r="R56" s="7"/>
      <c r="S56" s="7"/>
    </row>
    <row r="57" spans="2:19" ht="12.75">
      <c r="B57" s="78" t="s">
        <v>130</v>
      </c>
      <c r="C57" s="74" t="s">
        <v>70</v>
      </c>
      <c r="E57" s="79">
        <v>1.85</v>
      </c>
      <c r="F57" s="79">
        <v>2.6</v>
      </c>
      <c r="G57" s="7">
        <f t="shared" si="16"/>
        <v>4.8100000000000005</v>
      </c>
      <c r="H57" s="109" t="s">
        <v>134</v>
      </c>
      <c r="I57" s="31"/>
      <c r="J57" s="7">
        <f t="shared" si="13"/>
        <v>22</v>
      </c>
      <c r="K57" s="7">
        <f t="shared" si="15"/>
        <v>-4</v>
      </c>
      <c r="M57" s="26">
        <f t="shared" si="14"/>
        <v>1.2875536480686693</v>
      </c>
      <c r="O57" s="46">
        <f t="shared" si="17"/>
        <v>-24.7725321888412</v>
      </c>
      <c r="Q57" s="7"/>
      <c r="R57" s="7"/>
      <c r="S57" s="7"/>
    </row>
    <row r="58" spans="2:19" ht="12.75">
      <c r="B58" s="78" t="s">
        <v>131</v>
      </c>
      <c r="C58" s="74" t="s">
        <v>70</v>
      </c>
      <c r="E58" s="79">
        <v>2.6</v>
      </c>
      <c r="F58" s="79">
        <v>2.6</v>
      </c>
      <c r="G58" s="7">
        <f t="shared" si="16"/>
        <v>6.760000000000001</v>
      </c>
      <c r="H58" s="109" t="s">
        <v>3</v>
      </c>
      <c r="I58" s="31"/>
      <c r="J58" s="7">
        <f t="shared" si="13"/>
        <v>18</v>
      </c>
      <c r="K58" s="7">
        <f t="shared" si="15"/>
        <v>0</v>
      </c>
      <c r="M58" s="26">
        <f t="shared" si="14"/>
        <v>1.2875536480686693</v>
      </c>
      <c r="O58" s="46">
        <f t="shared" si="17"/>
        <v>0</v>
      </c>
      <c r="Q58" s="7"/>
      <c r="R58" s="7"/>
      <c r="S58" s="7"/>
    </row>
    <row r="59" spans="2:19" ht="12.75">
      <c r="B59" s="78"/>
      <c r="C59" s="74"/>
      <c r="E59" s="79"/>
      <c r="F59" s="79"/>
      <c r="G59" s="7"/>
      <c r="H59" s="109"/>
      <c r="I59" s="31"/>
      <c r="J59" s="48"/>
      <c r="K59" s="48"/>
      <c r="L59" s="49"/>
      <c r="M59" s="50" t="s">
        <v>172</v>
      </c>
      <c r="N59" s="51" t="s">
        <v>158</v>
      </c>
      <c r="O59" s="47">
        <f>SUM(O49:O58)</f>
        <v>-60.65876008399256</v>
      </c>
      <c r="Q59" s="7"/>
      <c r="R59" s="7"/>
      <c r="S59" s="7"/>
    </row>
    <row r="60" spans="1:19" ht="12.75">
      <c r="A60" t="s">
        <v>3</v>
      </c>
      <c r="B60" s="78"/>
      <c r="C60" s="74" t="s">
        <v>63</v>
      </c>
      <c r="E60" s="79">
        <v>3.79</v>
      </c>
      <c r="F60" s="79">
        <v>3.51</v>
      </c>
      <c r="G60" s="7">
        <f t="shared" si="16"/>
        <v>13.3029</v>
      </c>
      <c r="H60" s="109" t="s">
        <v>17</v>
      </c>
      <c r="I60" s="31"/>
      <c r="J60" s="7">
        <f aca="true" t="shared" si="18" ref="J60:J69">LOOKUP(H60,H$210:H$225,J$210:J$225)</f>
        <v>5</v>
      </c>
      <c r="K60" s="7">
        <f>Q$60-J60</f>
        <v>13</v>
      </c>
      <c r="M60" s="26">
        <f aca="true" t="shared" si="19" ref="M60:M69">LOOKUP(C60,C$210:C$228,M$210:M$228)</f>
        <v>0.1828746335799458</v>
      </c>
      <c r="O60" s="46">
        <f t="shared" si="17"/>
        <v>31.62591851965859</v>
      </c>
      <c r="Q60" s="7">
        <f>Temperaturen!B10</f>
        <v>18</v>
      </c>
      <c r="R60" s="7"/>
      <c r="S60" s="7">
        <f>'Oppervlaktes &amp; Volumes'!I9</f>
        <v>35.4744</v>
      </c>
    </row>
    <row r="61" spans="1:19" ht="12.75">
      <c r="A61" t="s">
        <v>127</v>
      </c>
      <c r="B61" s="78"/>
      <c r="C61" s="74" t="s">
        <v>65</v>
      </c>
      <c r="E61" s="79">
        <v>3.79</v>
      </c>
      <c r="F61" s="79">
        <v>3.51</v>
      </c>
      <c r="G61" s="7">
        <f t="shared" si="16"/>
        <v>13.3029</v>
      </c>
      <c r="H61" s="109" t="s">
        <v>8</v>
      </c>
      <c r="I61" s="31"/>
      <c r="J61" s="7">
        <f t="shared" si="18"/>
        <v>20</v>
      </c>
      <c r="K61" s="7">
        <f aca="true" t="shared" si="20" ref="K61:K67">Q$60-J61</f>
        <v>-2</v>
      </c>
      <c r="M61" s="26">
        <f t="shared" si="19"/>
        <v>1.9676248953391011</v>
      </c>
      <c r="O61" s="46">
        <f t="shared" si="17"/>
        <v>-52.350234440413054</v>
      </c>
      <c r="Q61" s="7"/>
      <c r="R61" s="7"/>
      <c r="S61" s="7"/>
    </row>
    <row r="62" spans="2:19" ht="12.75">
      <c r="B62" s="78" t="s">
        <v>128</v>
      </c>
      <c r="C62" s="74" t="s">
        <v>69</v>
      </c>
      <c r="E62" s="79">
        <v>2.5</v>
      </c>
      <c r="F62" s="79">
        <v>2.6</v>
      </c>
      <c r="G62" s="7">
        <f t="shared" si="16"/>
        <v>6.5</v>
      </c>
      <c r="H62" s="109" t="s">
        <v>18</v>
      </c>
      <c r="I62" s="31"/>
      <c r="J62" s="7">
        <f t="shared" si="18"/>
        <v>-10</v>
      </c>
      <c r="K62" s="7">
        <f t="shared" si="20"/>
        <v>28</v>
      </c>
      <c r="M62" s="26">
        <f t="shared" si="19"/>
        <v>0.1496900533137169</v>
      </c>
      <c r="O62" s="46">
        <f t="shared" si="17"/>
        <v>27.243589703096475</v>
      </c>
      <c r="Q62" s="7"/>
      <c r="R62" s="7"/>
      <c r="S62" s="7"/>
    </row>
    <row r="63" spans="2:19" ht="12.75">
      <c r="B63" s="78"/>
      <c r="C63" s="74" t="s">
        <v>74</v>
      </c>
      <c r="E63" s="79">
        <v>1.2</v>
      </c>
      <c r="F63" s="79">
        <v>2.6</v>
      </c>
      <c r="G63" s="7">
        <f t="shared" si="16"/>
        <v>3.12</v>
      </c>
      <c r="H63" s="109" t="s">
        <v>18</v>
      </c>
      <c r="I63" s="31"/>
      <c r="J63" s="7">
        <f t="shared" si="18"/>
        <v>-10</v>
      </c>
      <c r="K63" s="7">
        <f t="shared" si="20"/>
        <v>28</v>
      </c>
      <c r="M63" s="26">
        <f t="shared" si="19"/>
        <v>1.3425573519948522</v>
      </c>
      <c r="O63" s="46">
        <f t="shared" si="17"/>
        <v>117.28581027027029</v>
      </c>
      <c r="Q63" s="7"/>
      <c r="R63" s="7"/>
      <c r="S63" s="7"/>
    </row>
    <row r="64" spans="2:19" ht="12.75">
      <c r="B64" s="78" t="s">
        <v>129</v>
      </c>
      <c r="C64" s="74" t="s">
        <v>71</v>
      </c>
      <c r="E64" s="79">
        <v>0.9</v>
      </c>
      <c r="F64" s="79">
        <v>2.6</v>
      </c>
      <c r="G64" s="7">
        <f t="shared" si="16"/>
        <v>2.3400000000000003</v>
      </c>
      <c r="H64" s="109" t="s">
        <v>2</v>
      </c>
      <c r="I64" s="31"/>
      <c r="J64" s="7">
        <f t="shared" si="18"/>
        <v>18</v>
      </c>
      <c r="K64" s="7">
        <f t="shared" si="20"/>
        <v>0</v>
      </c>
      <c r="M64" s="26">
        <f t="shared" si="19"/>
        <v>1.6393442622950818</v>
      </c>
      <c r="O64" s="46">
        <f t="shared" si="17"/>
        <v>0</v>
      </c>
      <c r="Q64" s="7"/>
      <c r="R64" s="7"/>
      <c r="S64" s="7"/>
    </row>
    <row r="65" spans="2:19" ht="12.75">
      <c r="B65" s="78"/>
      <c r="C65" s="74" t="s">
        <v>70</v>
      </c>
      <c r="E65" s="79">
        <v>2.6</v>
      </c>
      <c r="F65" s="79">
        <v>2.6</v>
      </c>
      <c r="G65" s="7">
        <f t="shared" si="16"/>
        <v>6.760000000000001</v>
      </c>
      <c r="H65" s="109" t="s">
        <v>1</v>
      </c>
      <c r="I65" s="31"/>
      <c r="J65" s="7">
        <f t="shared" si="18"/>
        <v>18</v>
      </c>
      <c r="K65" s="7">
        <f t="shared" si="20"/>
        <v>0</v>
      </c>
      <c r="M65" s="26">
        <f t="shared" si="19"/>
        <v>1.2875536480686693</v>
      </c>
      <c r="O65" s="46">
        <f t="shared" si="17"/>
        <v>0</v>
      </c>
      <c r="Q65" s="7"/>
      <c r="R65" s="7"/>
      <c r="S65" s="7"/>
    </row>
    <row r="66" spans="2:19" ht="12.75">
      <c r="B66" s="78" t="s">
        <v>130</v>
      </c>
      <c r="C66" s="74" t="s">
        <v>75</v>
      </c>
      <c r="E66" s="79">
        <v>3.79</v>
      </c>
      <c r="F66" s="79">
        <v>2.6</v>
      </c>
      <c r="G66" s="7">
        <f t="shared" si="16"/>
        <v>9.854000000000001</v>
      </c>
      <c r="H66" s="109" t="s">
        <v>134</v>
      </c>
      <c r="I66" s="31"/>
      <c r="J66" s="7">
        <f t="shared" si="18"/>
        <v>22</v>
      </c>
      <c r="K66" s="7">
        <f t="shared" si="20"/>
        <v>-4</v>
      </c>
      <c r="M66" s="26">
        <f t="shared" si="19"/>
        <v>1.2413793103448276</v>
      </c>
      <c r="O66" s="46">
        <f t="shared" si="17"/>
        <v>-48.93020689655173</v>
      </c>
      <c r="Q66" s="7"/>
      <c r="R66" s="7"/>
      <c r="S66" s="7"/>
    </row>
    <row r="67" spans="2:19" ht="12.75">
      <c r="B67" s="78" t="s">
        <v>131</v>
      </c>
      <c r="C67" s="74" t="s">
        <v>72</v>
      </c>
      <c r="E67" s="79">
        <v>3.51</v>
      </c>
      <c r="F67" s="79">
        <v>2.6</v>
      </c>
      <c r="G67" s="7">
        <f t="shared" si="16"/>
        <v>9.126</v>
      </c>
      <c r="H67" s="109" t="s">
        <v>4</v>
      </c>
      <c r="I67" s="31"/>
      <c r="J67" s="7">
        <f t="shared" si="18"/>
        <v>12.5</v>
      </c>
      <c r="K67" s="7">
        <f t="shared" si="20"/>
        <v>5.5</v>
      </c>
      <c r="M67" s="26">
        <f t="shared" si="19"/>
        <v>1.339285714285714</v>
      </c>
      <c r="O67" s="46">
        <f t="shared" si="17"/>
        <v>67.22276785714284</v>
      </c>
      <c r="Q67" s="7"/>
      <c r="R67" s="7"/>
      <c r="S67" s="7"/>
    </row>
    <row r="68" spans="2:19" ht="12.75">
      <c r="B68" s="78"/>
      <c r="C68" s="74" t="s">
        <v>72</v>
      </c>
      <c r="E68" s="79">
        <v>-0.9</v>
      </c>
      <c r="F68" s="79">
        <v>2</v>
      </c>
      <c r="G68" s="7">
        <f t="shared" si="16"/>
        <v>-1.8</v>
      </c>
      <c r="H68" s="109" t="s">
        <v>4</v>
      </c>
      <c r="I68" s="31"/>
      <c r="J68" s="7">
        <f t="shared" si="18"/>
        <v>12.5</v>
      </c>
      <c r="K68" s="7">
        <f>Q$60-J68</f>
        <v>5.5</v>
      </c>
      <c r="M68" s="26">
        <f t="shared" si="19"/>
        <v>1.339285714285714</v>
      </c>
      <c r="O68" s="46">
        <f>M68*K68*G68</f>
        <v>-13.25892857142857</v>
      </c>
      <c r="Q68" s="7"/>
      <c r="R68" s="7"/>
      <c r="S68" s="7"/>
    </row>
    <row r="69" spans="2:19" ht="12.75">
      <c r="B69" s="78"/>
      <c r="C69" s="74" t="s">
        <v>75</v>
      </c>
      <c r="E69" s="79">
        <v>0.9</v>
      </c>
      <c r="F69" s="79">
        <v>2</v>
      </c>
      <c r="G69" s="7">
        <f t="shared" si="16"/>
        <v>1.8</v>
      </c>
      <c r="H69" s="109" t="s">
        <v>4</v>
      </c>
      <c r="I69" s="31"/>
      <c r="J69" s="7">
        <f t="shared" si="18"/>
        <v>12.5</v>
      </c>
      <c r="K69" s="7">
        <f>Q$60-J69</f>
        <v>5.5</v>
      </c>
      <c r="M69" s="26">
        <f t="shared" si="19"/>
        <v>1.2413793103448276</v>
      </c>
      <c r="O69" s="46">
        <f>M69*K69*G69</f>
        <v>12.289655172413793</v>
      </c>
      <c r="Q69" s="7"/>
      <c r="R69" s="7"/>
      <c r="S69" s="7"/>
    </row>
    <row r="70" spans="2:19" ht="12.75">
      <c r="B70" s="78"/>
      <c r="C70" s="74"/>
      <c r="E70" s="79"/>
      <c r="F70" s="79"/>
      <c r="G70" s="7"/>
      <c r="H70" s="109"/>
      <c r="I70" s="31"/>
      <c r="J70" s="48"/>
      <c r="K70" s="48"/>
      <c r="L70" s="49"/>
      <c r="M70" s="50" t="s">
        <v>173</v>
      </c>
      <c r="N70" s="51" t="s">
        <v>158</v>
      </c>
      <c r="O70" s="47">
        <f>SUM(O60:O67)</f>
        <v>142.09764501320342</v>
      </c>
      <c r="Q70" s="7"/>
      <c r="R70" s="7"/>
      <c r="S70" s="7"/>
    </row>
    <row r="71" spans="1:19" ht="12.75">
      <c r="A71" t="s">
        <v>4</v>
      </c>
      <c r="B71" s="78"/>
      <c r="C71" s="74" t="s">
        <v>64</v>
      </c>
      <c r="E71" s="79">
        <v>6</v>
      </c>
      <c r="F71" s="79">
        <v>5.6</v>
      </c>
      <c r="G71" s="7">
        <f t="shared" si="16"/>
        <v>33.599999999999994</v>
      </c>
      <c r="H71" s="109" t="s">
        <v>17</v>
      </c>
      <c r="I71" s="31"/>
      <c r="J71" s="7">
        <f aca="true" t="shared" si="21" ref="J71:J84">LOOKUP(H71,H$210:H$225,J$210:J$225)</f>
        <v>5</v>
      </c>
      <c r="K71" s="7">
        <f>Q$71-J71</f>
        <v>7.5</v>
      </c>
      <c r="M71" s="26">
        <f aca="true" t="shared" si="22" ref="M71:M84">LOOKUP(C71,C$210:C$228,M$210:M$228)</f>
        <v>1.002693674234962</v>
      </c>
      <c r="O71" s="46">
        <f t="shared" si="17"/>
        <v>252.67880590721035</v>
      </c>
      <c r="Q71" s="7">
        <f>Temperaturen!B8</f>
        <v>12.5</v>
      </c>
      <c r="R71" s="7"/>
      <c r="S71" s="7">
        <f>'Oppervlaktes &amp; Volumes'!I10</f>
        <v>91.72799999999998</v>
      </c>
    </row>
    <row r="72" spans="2:19" ht="12.75">
      <c r="B72" s="78"/>
      <c r="C72" s="74" t="s">
        <v>66</v>
      </c>
      <c r="E72" s="79">
        <v>5.29</v>
      </c>
      <c r="F72" s="79">
        <v>3.6</v>
      </c>
      <c r="G72" s="7">
        <f t="shared" si="16"/>
        <v>19.044</v>
      </c>
      <c r="H72" s="109" t="s">
        <v>11</v>
      </c>
      <c r="I72" s="31"/>
      <c r="J72" s="7">
        <f t="shared" si="21"/>
        <v>20</v>
      </c>
      <c r="K72" s="7">
        <f aca="true" t="shared" si="23" ref="K72:K83">Q$71-J72</f>
        <v>-7.5</v>
      </c>
      <c r="M72" s="26">
        <f t="shared" si="22"/>
        <v>2.0910573928518463</v>
      </c>
      <c r="O72" s="46">
        <f t="shared" si="17"/>
        <v>-298.66572742102926</v>
      </c>
      <c r="Q72" s="7"/>
      <c r="R72" s="7"/>
      <c r="S72" s="7"/>
    </row>
    <row r="73" spans="2:19" ht="12.75">
      <c r="B73" s="78"/>
      <c r="C73" s="74" t="s">
        <v>66</v>
      </c>
      <c r="E73" s="79">
        <v>1.1</v>
      </c>
      <c r="F73" s="79">
        <v>3.6</v>
      </c>
      <c r="G73" s="7">
        <f t="shared" si="16"/>
        <v>3.9600000000000004</v>
      </c>
      <c r="H73" s="109" t="s">
        <v>8</v>
      </c>
      <c r="I73" s="31"/>
      <c r="J73" s="7">
        <f t="shared" si="21"/>
        <v>20</v>
      </c>
      <c r="K73" s="7">
        <f t="shared" si="23"/>
        <v>-7.5</v>
      </c>
      <c r="M73" s="26">
        <f t="shared" si="22"/>
        <v>2.0910573928518463</v>
      </c>
      <c r="O73" s="46">
        <f t="shared" si="17"/>
        <v>-62.104404567699845</v>
      </c>
      <c r="Q73" s="7"/>
      <c r="R73" s="7"/>
      <c r="S73" s="7"/>
    </row>
    <row r="74" spans="2:19" ht="12.75">
      <c r="B74" s="78"/>
      <c r="C74" s="74" t="s">
        <v>67</v>
      </c>
      <c r="E74" s="79">
        <v>6</v>
      </c>
      <c r="F74" s="79">
        <v>2</v>
      </c>
      <c r="G74" s="7">
        <f t="shared" si="16"/>
        <v>12</v>
      </c>
      <c r="H74" s="109" t="s">
        <v>18</v>
      </c>
      <c r="I74" s="31"/>
      <c r="J74" s="7">
        <f t="shared" si="21"/>
        <v>-10</v>
      </c>
      <c r="K74" s="7">
        <f t="shared" si="23"/>
        <v>22.5</v>
      </c>
      <c r="M74" s="26">
        <f t="shared" si="22"/>
        <v>0.29026952638782855</v>
      </c>
      <c r="O74" s="46">
        <f t="shared" si="17"/>
        <v>78.3727721247137</v>
      </c>
      <c r="Q74" s="7"/>
      <c r="R74" s="7"/>
      <c r="S74" s="7"/>
    </row>
    <row r="75" spans="2:19" ht="12.75">
      <c r="B75" s="78" t="s">
        <v>128</v>
      </c>
      <c r="C75" s="74" t="s">
        <v>68</v>
      </c>
      <c r="E75" s="79">
        <v>1.2</v>
      </c>
      <c r="F75" s="79">
        <v>2.6</v>
      </c>
      <c r="G75" s="7">
        <f t="shared" si="16"/>
        <v>3.12</v>
      </c>
      <c r="H75" s="109" t="s">
        <v>18</v>
      </c>
      <c r="I75" s="31"/>
      <c r="J75" s="7">
        <f t="shared" si="21"/>
        <v>-10</v>
      </c>
      <c r="K75" s="7">
        <f t="shared" si="23"/>
        <v>22.5</v>
      </c>
      <c r="M75" s="26">
        <f t="shared" si="22"/>
        <v>0.3363789944858009</v>
      </c>
      <c r="O75" s="46">
        <f t="shared" si="17"/>
        <v>23.613805412903222</v>
      </c>
      <c r="Q75" s="7"/>
      <c r="R75" s="7"/>
      <c r="S75" s="7"/>
    </row>
    <row r="76" spans="2:19" ht="12.75">
      <c r="B76" s="78"/>
      <c r="C76" s="74" t="s">
        <v>76</v>
      </c>
      <c r="E76" s="79">
        <v>4.6</v>
      </c>
      <c r="F76" s="79">
        <v>2.6</v>
      </c>
      <c r="G76" s="7">
        <f t="shared" si="16"/>
        <v>11.959999999999999</v>
      </c>
      <c r="H76" s="109" t="s">
        <v>18</v>
      </c>
      <c r="I76" s="31"/>
      <c r="J76" s="7">
        <f t="shared" si="21"/>
        <v>-10</v>
      </c>
      <c r="K76" s="7">
        <f t="shared" si="23"/>
        <v>22.5</v>
      </c>
      <c r="M76" s="26">
        <f t="shared" si="22"/>
        <v>0.5080066261397235</v>
      </c>
      <c r="O76" s="46">
        <f t="shared" si="17"/>
        <v>136.7045830941996</v>
      </c>
      <c r="Q76" s="7"/>
      <c r="R76" s="7"/>
      <c r="S76" s="7"/>
    </row>
    <row r="77" spans="2:19" ht="12.75">
      <c r="B77" s="78" t="s">
        <v>129</v>
      </c>
      <c r="C77" s="74" t="s">
        <v>68</v>
      </c>
      <c r="E77" s="79">
        <v>2</v>
      </c>
      <c r="F77" s="79">
        <v>2.6</v>
      </c>
      <c r="G77" s="7">
        <f t="shared" si="16"/>
        <v>5.2</v>
      </c>
      <c r="H77" s="109" t="s">
        <v>18</v>
      </c>
      <c r="I77" s="31"/>
      <c r="J77" s="7">
        <f t="shared" si="21"/>
        <v>-10</v>
      </c>
      <c r="K77" s="7">
        <f t="shared" si="23"/>
        <v>22.5</v>
      </c>
      <c r="M77" s="26">
        <f t="shared" si="22"/>
        <v>0.3363789944858009</v>
      </c>
      <c r="O77" s="46">
        <f t="shared" si="17"/>
        <v>39.3563423548387</v>
      </c>
      <c r="Q77" s="7"/>
      <c r="R77" s="7"/>
      <c r="S77" s="7"/>
    </row>
    <row r="78" spans="2:19" ht="12.75">
      <c r="B78" s="78"/>
      <c r="C78" s="74" t="s">
        <v>72</v>
      </c>
      <c r="E78" s="79">
        <v>3.51</v>
      </c>
      <c r="F78" s="79">
        <v>2.6</v>
      </c>
      <c r="G78" s="7">
        <f t="shared" si="16"/>
        <v>9.126</v>
      </c>
      <c r="H78" s="109" t="s">
        <v>3</v>
      </c>
      <c r="I78" s="31"/>
      <c r="J78" s="7">
        <f t="shared" si="21"/>
        <v>18</v>
      </c>
      <c r="K78" s="7">
        <f t="shared" si="23"/>
        <v>-5.5</v>
      </c>
      <c r="M78" s="26">
        <f t="shared" si="22"/>
        <v>1.339285714285714</v>
      </c>
      <c r="O78" s="46">
        <f t="shared" si="17"/>
        <v>-67.22276785714284</v>
      </c>
      <c r="Q78" s="7"/>
      <c r="R78" s="7"/>
      <c r="S78" s="7"/>
    </row>
    <row r="79" spans="2:19" ht="12.75">
      <c r="B79" s="78"/>
      <c r="C79" s="74" t="s">
        <v>72</v>
      </c>
      <c r="E79" s="79">
        <v>-0.9</v>
      </c>
      <c r="F79" s="79">
        <v>2</v>
      </c>
      <c r="G79" s="7">
        <f t="shared" si="16"/>
        <v>-1.8</v>
      </c>
      <c r="H79" s="109" t="s">
        <v>3</v>
      </c>
      <c r="I79" s="31"/>
      <c r="J79" s="7">
        <f t="shared" si="21"/>
        <v>18</v>
      </c>
      <c r="K79" s="7">
        <f t="shared" si="23"/>
        <v>-5.5</v>
      </c>
      <c r="M79" s="26">
        <f t="shared" si="22"/>
        <v>1.339285714285714</v>
      </c>
      <c r="O79" s="46">
        <f t="shared" si="17"/>
        <v>13.25892857142857</v>
      </c>
      <c r="Q79" s="7"/>
      <c r="R79" s="7"/>
      <c r="S79" s="7"/>
    </row>
    <row r="80" spans="2:19" ht="12.75">
      <c r="B80" s="78"/>
      <c r="C80" s="74" t="s">
        <v>75</v>
      </c>
      <c r="E80" s="79">
        <v>0.9</v>
      </c>
      <c r="F80" s="79">
        <v>2</v>
      </c>
      <c r="G80" s="7">
        <f t="shared" si="16"/>
        <v>1.8</v>
      </c>
      <c r="H80" s="109" t="s">
        <v>3</v>
      </c>
      <c r="I80" s="31"/>
      <c r="J80" s="7">
        <f t="shared" si="21"/>
        <v>18</v>
      </c>
      <c r="K80" s="7">
        <f t="shared" si="23"/>
        <v>-5.5</v>
      </c>
      <c r="M80" s="26">
        <f t="shared" si="22"/>
        <v>1.2413793103448276</v>
      </c>
      <c r="O80" s="46">
        <f t="shared" si="17"/>
        <v>-12.289655172413793</v>
      </c>
      <c r="Q80" s="7"/>
      <c r="R80" s="7"/>
      <c r="S80" s="7"/>
    </row>
    <row r="81" spans="2:19" ht="12.75">
      <c r="B81" s="78" t="s">
        <v>130</v>
      </c>
      <c r="C81" s="74" t="s">
        <v>72</v>
      </c>
      <c r="E81" s="79">
        <v>6</v>
      </c>
      <c r="F81" s="79">
        <v>2.6</v>
      </c>
      <c r="G81" s="7">
        <f t="shared" si="16"/>
        <v>15.600000000000001</v>
      </c>
      <c r="H81" s="109" t="s">
        <v>134</v>
      </c>
      <c r="I81" s="31"/>
      <c r="J81" s="7">
        <f t="shared" si="21"/>
        <v>22</v>
      </c>
      <c r="K81" s="7">
        <f t="shared" si="23"/>
        <v>-9.5</v>
      </c>
      <c r="M81" s="26">
        <f t="shared" si="22"/>
        <v>1.339285714285714</v>
      </c>
      <c r="O81" s="46">
        <f t="shared" si="17"/>
        <v>-198.48214285714283</v>
      </c>
      <c r="Q81" s="7"/>
      <c r="R81" s="7"/>
      <c r="S81" s="7"/>
    </row>
    <row r="82" spans="2:19" ht="12.75">
      <c r="B82" s="78" t="s">
        <v>131</v>
      </c>
      <c r="C82" s="74" t="s">
        <v>68</v>
      </c>
      <c r="E82" s="79">
        <v>5.6</v>
      </c>
      <c r="F82" s="79">
        <v>2.6</v>
      </c>
      <c r="G82" s="7">
        <f t="shared" si="16"/>
        <v>14.559999999999999</v>
      </c>
      <c r="H82" s="109" t="s">
        <v>18</v>
      </c>
      <c r="I82" s="31"/>
      <c r="J82" s="7">
        <f t="shared" si="21"/>
        <v>-10</v>
      </c>
      <c r="K82" s="7">
        <f t="shared" si="23"/>
        <v>22.5</v>
      </c>
      <c r="M82" s="26">
        <f t="shared" si="22"/>
        <v>0.3363789944858009</v>
      </c>
      <c r="O82" s="46">
        <f t="shared" si="17"/>
        <v>110.19775859354836</v>
      </c>
      <c r="Q82" s="7"/>
      <c r="R82" s="7"/>
      <c r="S82" s="7"/>
    </row>
    <row r="83" spans="2:19" ht="12.75">
      <c r="B83" s="78"/>
      <c r="C83" s="74" t="s">
        <v>68</v>
      </c>
      <c r="E83" s="79">
        <v>-2</v>
      </c>
      <c r="F83" s="79">
        <v>0.6</v>
      </c>
      <c r="G83" s="7">
        <f t="shared" si="16"/>
        <v>-1.2</v>
      </c>
      <c r="H83" s="109" t="s">
        <v>18</v>
      </c>
      <c r="I83" s="31"/>
      <c r="J83" s="7">
        <f t="shared" si="21"/>
        <v>-10</v>
      </c>
      <c r="K83" s="7">
        <f t="shared" si="23"/>
        <v>22.5</v>
      </c>
      <c r="M83" s="26">
        <f t="shared" si="22"/>
        <v>0.3363789944858009</v>
      </c>
      <c r="O83" s="46">
        <f t="shared" si="17"/>
        <v>-9.082232851116624</v>
      </c>
      <c r="Q83" s="7"/>
      <c r="R83" s="7"/>
      <c r="S83" s="7"/>
    </row>
    <row r="84" spans="2:19" ht="12.75">
      <c r="B84" s="78"/>
      <c r="C84" s="74" t="s">
        <v>73</v>
      </c>
      <c r="E84" s="79">
        <v>2</v>
      </c>
      <c r="F84" s="79">
        <v>0.6</v>
      </c>
      <c r="G84" s="7">
        <f t="shared" si="16"/>
        <v>1.2</v>
      </c>
      <c r="H84" s="109" t="s">
        <v>18</v>
      </c>
      <c r="I84" s="31"/>
      <c r="J84" s="7">
        <f t="shared" si="21"/>
        <v>-10</v>
      </c>
      <c r="K84" s="7">
        <f>Q$25-J84</f>
        <v>28</v>
      </c>
      <c r="M84" s="26">
        <f t="shared" si="22"/>
        <v>1.7349999999999999</v>
      </c>
      <c r="O84" s="46">
        <f t="shared" si="17"/>
        <v>58.29599999999999</v>
      </c>
      <c r="Q84" s="7"/>
      <c r="R84" s="7"/>
      <c r="S84" s="7"/>
    </row>
    <row r="85" spans="2:19" ht="12.75">
      <c r="B85" s="78"/>
      <c r="C85" s="74"/>
      <c r="E85" s="79"/>
      <c r="F85" s="79"/>
      <c r="G85" s="7"/>
      <c r="H85" s="109"/>
      <c r="I85" s="31"/>
      <c r="J85" s="48"/>
      <c r="K85" s="48"/>
      <c r="L85" s="49"/>
      <c r="M85" s="50" t="s">
        <v>174</v>
      </c>
      <c r="N85" s="51" t="s">
        <v>158</v>
      </c>
      <c r="O85" s="47">
        <f>SUM(O71:O84)</f>
        <v>64.63206533229732</v>
      </c>
      <c r="Q85" s="7"/>
      <c r="R85" s="7"/>
      <c r="S85" s="7"/>
    </row>
    <row r="86" spans="1:19" ht="12.75">
      <c r="A86" t="s">
        <v>5</v>
      </c>
      <c r="B86" s="78"/>
      <c r="C86" s="74" t="s">
        <v>65</v>
      </c>
      <c r="E86" s="79">
        <v>4.85</v>
      </c>
      <c r="F86" s="79">
        <v>5.07</v>
      </c>
      <c r="G86" s="7">
        <f t="shared" si="16"/>
        <v>24.5895</v>
      </c>
      <c r="H86" s="109" t="s">
        <v>134</v>
      </c>
      <c r="I86" s="31"/>
      <c r="J86" s="7">
        <f aca="true" t="shared" si="24" ref="J86:J99">LOOKUP(H86,H$210:H$225,J$210:J$225)</f>
        <v>22</v>
      </c>
      <c r="K86" s="7">
        <f>Q$86-J86</f>
        <v>-2</v>
      </c>
      <c r="M86" s="26">
        <f aca="true" t="shared" si="25" ref="M86:M99">LOOKUP(C86,C$210:C$228,M$210:M$228)</f>
        <v>1.9676248953391011</v>
      </c>
      <c r="O86" s="46">
        <f t="shared" si="17"/>
        <v>-96.76582472788166</v>
      </c>
      <c r="Q86" s="7">
        <f>Temperaturen!B13</f>
        <v>20</v>
      </c>
      <c r="R86" s="7"/>
      <c r="S86" s="7">
        <f>'Oppervlaktes &amp; Volumes'!I11</f>
        <v>68.1425</v>
      </c>
    </row>
    <row r="87" spans="1:19" ht="12.75">
      <c r="A87" t="s">
        <v>132</v>
      </c>
      <c r="B87" s="78"/>
      <c r="C87" s="74" t="s">
        <v>67</v>
      </c>
      <c r="E87" s="79">
        <v>4.85</v>
      </c>
      <c r="F87" s="79">
        <v>0.75</v>
      </c>
      <c r="G87" s="7">
        <f t="shared" si="16"/>
        <v>3.6374999999999997</v>
      </c>
      <c r="H87" s="109" t="s">
        <v>18</v>
      </c>
      <c r="I87" s="31"/>
      <c r="J87" s="7">
        <f t="shared" si="24"/>
        <v>-10</v>
      </c>
      <c r="K87" s="7">
        <f aca="true" t="shared" si="26" ref="K87:K99">Q$86-J87</f>
        <v>30</v>
      </c>
      <c r="M87" s="26">
        <f t="shared" si="25"/>
        <v>0.29026952638782855</v>
      </c>
      <c r="O87" s="46">
        <f t="shared" si="17"/>
        <v>31.675662067071787</v>
      </c>
      <c r="Q87" s="7"/>
      <c r="R87" s="7"/>
      <c r="S87" s="7"/>
    </row>
    <row r="88" spans="2:19" ht="12.75">
      <c r="B88" s="78"/>
      <c r="C88" s="74" t="s">
        <v>62</v>
      </c>
      <c r="E88" s="79">
        <v>4.85</v>
      </c>
      <c r="F88" s="79">
        <v>5.62</v>
      </c>
      <c r="G88" s="7">
        <f t="shared" si="16"/>
        <v>27.256999999999998</v>
      </c>
      <c r="H88" s="109" t="s">
        <v>12</v>
      </c>
      <c r="I88" s="31"/>
      <c r="J88" s="7">
        <f t="shared" si="24"/>
        <v>17</v>
      </c>
      <c r="K88" s="7">
        <f t="shared" si="26"/>
        <v>3</v>
      </c>
      <c r="M88" s="26">
        <f t="shared" si="25"/>
        <v>4.32183908045977</v>
      </c>
      <c r="O88" s="46">
        <f t="shared" si="17"/>
        <v>353.4011034482758</v>
      </c>
      <c r="Q88" s="7"/>
      <c r="R88" s="7"/>
      <c r="S88" s="7"/>
    </row>
    <row r="89" spans="2:19" ht="12.75">
      <c r="B89" s="78" t="s">
        <v>128</v>
      </c>
      <c r="C89" s="74" t="s">
        <v>70</v>
      </c>
      <c r="E89" s="79">
        <v>4.85</v>
      </c>
      <c r="F89" s="79">
        <v>2.5</v>
      </c>
      <c r="G89" s="7">
        <f t="shared" si="16"/>
        <v>12.125</v>
      </c>
      <c r="H89" s="109" t="s">
        <v>6</v>
      </c>
      <c r="I89" s="31"/>
      <c r="J89" s="7">
        <f t="shared" si="24"/>
        <v>23</v>
      </c>
      <c r="K89" s="7">
        <f t="shared" si="26"/>
        <v>-3</v>
      </c>
      <c r="M89" s="26">
        <f t="shared" si="25"/>
        <v>1.2875536480686693</v>
      </c>
      <c r="O89" s="46">
        <f t="shared" si="17"/>
        <v>-46.834763948497844</v>
      </c>
      <c r="Q89" s="7"/>
      <c r="R89" s="7"/>
      <c r="S89" s="7"/>
    </row>
    <row r="90" spans="2:19" ht="12.75">
      <c r="B90" s="78"/>
      <c r="C90" s="74" t="s">
        <v>70</v>
      </c>
      <c r="E90" s="79">
        <v>-0.9</v>
      </c>
      <c r="F90" s="79">
        <v>2</v>
      </c>
      <c r="G90" s="7">
        <f t="shared" si="16"/>
        <v>-1.8</v>
      </c>
      <c r="H90" s="109" t="s">
        <v>6</v>
      </c>
      <c r="I90" s="31"/>
      <c r="J90" s="7">
        <f t="shared" si="24"/>
        <v>23</v>
      </c>
      <c r="K90" s="7">
        <f t="shared" si="26"/>
        <v>-3</v>
      </c>
      <c r="M90" s="26">
        <f t="shared" si="25"/>
        <v>1.2875536480686693</v>
      </c>
      <c r="O90" s="46">
        <f t="shared" si="17"/>
        <v>6.952789699570815</v>
      </c>
      <c r="Q90" s="7"/>
      <c r="R90" s="7"/>
      <c r="S90" s="7"/>
    </row>
    <row r="91" spans="2:19" ht="12.75">
      <c r="B91" s="78"/>
      <c r="C91" s="74" t="s">
        <v>75</v>
      </c>
      <c r="E91" s="79">
        <v>0.9</v>
      </c>
      <c r="F91" s="79">
        <v>2</v>
      </c>
      <c r="G91" s="7">
        <f t="shared" si="16"/>
        <v>1.8</v>
      </c>
      <c r="H91" s="109" t="s">
        <v>6</v>
      </c>
      <c r="I91" s="31"/>
      <c r="J91" s="7">
        <f t="shared" si="24"/>
        <v>23</v>
      </c>
      <c r="K91" s="7">
        <f t="shared" si="26"/>
        <v>-3</v>
      </c>
      <c r="M91" s="26">
        <f t="shared" si="25"/>
        <v>1.2413793103448276</v>
      </c>
      <c r="O91" s="46">
        <f t="shared" si="17"/>
        <v>-6.70344827586207</v>
      </c>
      <c r="Q91" s="7"/>
      <c r="R91" s="7"/>
      <c r="S91" s="7"/>
    </row>
    <row r="92" spans="2:19" ht="12.75">
      <c r="B92" s="78" t="s">
        <v>129</v>
      </c>
      <c r="C92" s="74" t="s">
        <v>68</v>
      </c>
      <c r="E92" s="79">
        <v>5.62</v>
      </c>
      <c r="F92" s="79">
        <v>2.5</v>
      </c>
      <c r="G92" s="7">
        <f t="shared" si="16"/>
        <v>14.05</v>
      </c>
      <c r="H92" s="109" t="s">
        <v>18</v>
      </c>
      <c r="I92" s="31"/>
      <c r="J92" s="7">
        <f t="shared" si="24"/>
        <v>-10</v>
      </c>
      <c r="K92" s="7">
        <f t="shared" si="26"/>
        <v>30</v>
      </c>
      <c r="M92" s="26">
        <f t="shared" si="25"/>
        <v>0.3363789944858009</v>
      </c>
      <c r="O92" s="46">
        <f t="shared" si="17"/>
        <v>141.7837461757651</v>
      </c>
      <c r="Q92" s="7"/>
      <c r="R92" s="7"/>
      <c r="S92" s="7"/>
    </row>
    <row r="93" spans="2:19" ht="12.75">
      <c r="B93" s="78" t="s">
        <v>130</v>
      </c>
      <c r="C93" s="74" t="s">
        <v>68</v>
      </c>
      <c r="E93" s="79">
        <v>4.85</v>
      </c>
      <c r="F93" s="79">
        <v>2.5</v>
      </c>
      <c r="G93" s="7">
        <f aca="true" t="shared" si="27" ref="G93:G117">E93*F93</f>
        <v>12.125</v>
      </c>
      <c r="H93" s="109" t="s">
        <v>18</v>
      </c>
      <c r="I93" s="31"/>
      <c r="J93" s="7">
        <f t="shared" si="24"/>
        <v>-10</v>
      </c>
      <c r="K93" s="7">
        <f t="shared" si="26"/>
        <v>30</v>
      </c>
      <c r="M93" s="26">
        <f t="shared" si="25"/>
        <v>0.3363789944858009</v>
      </c>
      <c r="O93" s="46">
        <f aca="true" t="shared" si="28" ref="O93:O117">M93*K93*G93</f>
        <v>122.35785924421006</v>
      </c>
      <c r="Q93" s="7"/>
      <c r="R93" s="7"/>
      <c r="S93" s="7"/>
    </row>
    <row r="94" spans="2:19" ht="12.75">
      <c r="B94" s="78"/>
      <c r="C94" s="74" t="s">
        <v>68</v>
      </c>
      <c r="E94" s="79">
        <v>-3</v>
      </c>
      <c r="F94" s="79">
        <v>1.2</v>
      </c>
      <c r="G94" s="7">
        <f t="shared" si="27"/>
        <v>-3.5999999999999996</v>
      </c>
      <c r="H94" s="109" t="s">
        <v>18</v>
      </c>
      <c r="I94" s="31"/>
      <c r="J94" s="7">
        <f t="shared" si="24"/>
        <v>-10</v>
      </c>
      <c r="K94" s="7">
        <f t="shared" si="26"/>
        <v>30</v>
      </c>
      <c r="M94" s="26">
        <f t="shared" si="25"/>
        <v>0.3363789944858009</v>
      </c>
      <c r="O94" s="46">
        <f t="shared" si="28"/>
        <v>-36.32893140446649</v>
      </c>
      <c r="Q94" s="7"/>
      <c r="R94" s="7"/>
      <c r="S94" s="7"/>
    </row>
    <row r="95" spans="2:19" ht="12.75">
      <c r="B95" s="78"/>
      <c r="C95" s="74" t="s">
        <v>73</v>
      </c>
      <c r="E95" s="79">
        <v>3</v>
      </c>
      <c r="F95" s="79">
        <v>1.2</v>
      </c>
      <c r="G95" s="7">
        <f t="shared" si="27"/>
        <v>3.5999999999999996</v>
      </c>
      <c r="H95" s="109" t="s">
        <v>18</v>
      </c>
      <c r="I95" s="31"/>
      <c r="J95" s="7">
        <f t="shared" si="24"/>
        <v>-10</v>
      </c>
      <c r="K95" s="7">
        <f t="shared" si="26"/>
        <v>30</v>
      </c>
      <c r="M95" s="26">
        <f t="shared" si="25"/>
        <v>1.7349999999999999</v>
      </c>
      <c r="O95" s="46">
        <f t="shared" si="28"/>
        <v>187.37999999999997</v>
      </c>
      <c r="Q95" s="7"/>
      <c r="R95" s="7"/>
      <c r="S95" s="7"/>
    </row>
    <row r="96" spans="2:19" ht="12.75">
      <c r="B96" s="78" t="s">
        <v>131</v>
      </c>
      <c r="C96" s="74" t="s">
        <v>69</v>
      </c>
      <c r="E96" s="79">
        <v>0.5</v>
      </c>
      <c r="F96" s="79">
        <v>2.5</v>
      </c>
      <c r="G96" s="7">
        <f t="shared" si="27"/>
        <v>1.25</v>
      </c>
      <c r="H96" s="109" t="s">
        <v>18</v>
      </c>
      <c r="I96" s="31"/>
      <c r="J96" s="7">
        <f t="shared" si="24"/>
        <v>-10</v>
      </c>
      <c r="K96" s="7">
        <f t="shared" si="26"/>
        <v>30</v>
      </c>
      <c r="M96" s="26">
        <f t="shared" si="25"/>
        <v>0.1496900533137169</v>
      </c>
      <c r="O96" s="46">
        <f t="shared" si="28"/>
        <v>5.613376999264384</v>
      </c>
      <c r="Q96" s="7"/>
      <c r="R96" s="7"/>
      <c r="S96" s="7"/>
    </row>
    <row r="97" spans="2:19" ht="12.75">
      <c r="B97" s="78"/>
      <c r="C97" s="74" t="s">
        <v>70</v>
      </c>
      <c r="E97" s="79">
        <v>5.07</v>
      </c>
      <c r="F97" s="79">
        <v>2.5</v>
      </c>
      <c r="G97" s="7">
        <f t="shared" si="27"/>
        <v>12.675</v>
      </c>
      <c r="H97" s="109" t="s">
        <v>8</v>
      </c>
      <c r="I97" s="31"/>
      <c r="J97" s="7">
        <f t="shared" si="24"/>
        <v>20</v>
      </c>
      <c r="K97" s="7">
        <f t="shared" si="26"/>
        <v>0</v>
      </c>
      <c r="M97" s="26">
        <f t="shared" si="25"/>
        <v>1.2875536480686693</v>
      </c>
      <c r="O97" s="46">
        <f t="shared" si="28"/>
        <v>0</v>
      </c>
      <c r="Q97" s="7"/>
      <c r="R97" s="7"/>
      <c r="S97" s="7"/>
    </row>
    <row r="98" spans="2:19" ht="12.75">
      <c r="B98" s="78"/>
      <c r="C98" s="74" t="s">
        <v>70</v>
      </c>
      <c r="E98" s="79">
        <v>-0.9</v>
      </c>
      <c r="F98" s="79">
        <v>2</v>
      </c>
      <c r="G98" s="7">
        <f t="shared" si="27"/>
        <v>-1.8</v>
      </c>
      <c r="H98" s="109" t="s">
        <v>8</v>
      </c>
      <c r="I98" s="31"/>
      <c r="J98" s="7">
        <f t="shared" si="24"/>
        <v>20</v>
      </c>
      <c r="K98" s="7">
        <f t="shared" si="26"/>
        <v>0</v>
      </c>
      <c r="M98" s="26">
        <f t="shared" si="25"/>
        <v>1.2875536480686693</v>
      </c>
      <c r="O98" s="46">
        <f t="shared" si="28"/>
        <v>0</v>
      </c>
      <c r="Q98" s="7"/>
      <c r="R98" s="7"/>
      <c r="S98" s="7"/>
    </row>
    <row r="99" spans="2:19" ht="12.75">
      <c r="B99" s="78"/>
      <c r="C99" s="74" t="s">
        <v>75</v>
      </c>
      <c r="E99" s="79">
        <v>0.9</v>
      </c>
      <c r="F99" s="79">
        <v>2</v>
      </c>
      <c r="G99" s="7">
        <f t="shared" si="27"/>
        <v>1.8</v>
      </c>
      <c r="H99" s="109" t="s">
        <v>8</v>
      </c>
      <c r="I99" s="31"/>
      <c r="J99" s="7">
        <f t="shared" si="24"/>
        <v>20</v>
      </c>
      <c r="K99" s="7">
        <f t="shared" si="26"/>
        <v>0</v>
      </c>
      <c r="M99" s="26">
        <f t="shared" si="25"/>
        <v>1.2413793103448276</v>
      </c>
      <c r="O99" s="46">
        <f t="shared" si="28"/>
        <v>0</v>
      </c>
      <c r="Q99" s="7"/>
      <c r="R99" s="7"/>
      <c r="S99" s="7"/>
    </row>
    <row r="100" spans="2:19" ht="12.75">
      <c r="B100" s="78"/>
      <c r="C100" s="74"/>
      <c r="E100" s="79"/>
      <c r="F100" s="79"/>
      <c r="G100" s="7"/>
      <c r="H100" s="109"/>
      <c r="I100" s="31"/>
      <c r="J100" s="48"/>
      <c r="K100" s="48"/>
      <c r="L100" s="49"/>
      <c r="M100" s="50" t="s">
        <v>175</v>
      </c>
      <c r="N100" s="51" t="s">
        <v>158</v>
      </c>
      <c r="O100" s="47">
        <f>SUM(O86:O99)</f>
        <v>662.5315692774499</v>
      </c>
      <c r="Q100" s="7"/>
      <c r="R100" s="7"/>
      <c r="S100" s="7"/>
    </row>
    <row r="101" spans="1:19" ht="12.75">
      <c r="A101" t="s">
        <v>9</v>
      </c>
      <c r="B101" s="78"/>
      <c r="C101" s="74" t="s">
        <v>65</v>
      </c>
      <c r="E101" s="79">
        <v>4.89</v>
      </c>
      <c r="F101" s="79">
        <v>3.79</v>
      </c>
      <c r="G101" s="7">
        <f t="shared" si="27"/>
        <v>18.533099999999997</v>
      </c>
      <c r="H101" s="109" t="s">
        <v>134</v>
      </c>
      <c r="I101" s="31"/>
      <c r="J101" s="7">
        <f aca="true" t="shared" si="29" ref="J101:J115">LOOKUP(H101,H$210:H$225,J$210:J$225)</f>
        <v>22</v>
      </c>
      <c r="K101" s="7">
        <f>Q$101-J101</f>
        <v>-2</v>
      </c>
      <c r="M101" s="26">
        <f aca="true" t="shared" si="30" ref="M101:M115">LOOKUP(C101,C$210:C$228,M$210:M$228)</f>
        <v>1.9676248953391011</v>
      </c>
      <c r="O101" s="46">
        <f t="shared" si="28"/>
        <v>-72.93237789561817</v>
      </c>
      <c r="Q101" s="7">
        <f>Temperaturen!B14</f>
        <v>20</v>
      </c>
      <c r="R101" s="7"/>
      <c r="S101" s="7">
        <f>'Oppervlaktes &amp; Volumes'!I17</f>
        <v>53.066500000000005</v>
      </c>
    </row>
    <row r="102" spans="1:19" ht="12.75">
      <c r="A102" t="s">
        <v>132</v>
      </c>
      <c r="B102" s="78"/>
      <c r="C102" s="74" t="s">
        <v>67</v>
      </c>
      <c r="E102" s="79">
        <v>4.89</v>
      </c>
      <c r="F102" s="79">
        <v>0.75</v>
      </c>
      <c r="G102" s="7">
        <f t="shared" si="27"/>
        <v>3.6674999999999995</v>
      </c>
      <c r="H102" s="109" t="s">
        <v>18</v>
      </c>
      <c r="I102" s="31"/>
      <c r="J102" s="7">
        <f t="shared" si="29"/>
        <v>-10</v>
      </c>
      <c r="K102" s="7">
        <f aca="true" t="shared" si="31" ref="K102:K115">Q$101-J102</f>
        <v>30</v>
      </c>
      <c r="M102" s="26">
        <f t="shared" si="30"/>
        <v>0.29026952638782855</v>
      </c>
      <c r="O102" s="46">
        <f t="shared" si="28"/>
        <v>31.93690464082083</v>
      </c>
      <c r="Q102" s="7"/>
      <c r="R102" s="7"/>
      <c r="S102" s="7"/>
    </row>
    <row r="103" spans="2:19" ht="12.75">
      <c r="B103" s="78"/>
      <c r="C103" s="74" t="s">
        <v>62</v>
      </c>
      <c r="E103" s="79">
        <v>4.89</v>
      </c>
      <c r="F103" s="79">
        <v>4.22</v>
      </c>
      <c r="G103" s="7">
        <f t="shared" si="27"/>
        <v>20.635799999999996</v>
      </c>
      <c r="H103" s="109" t="s">
        <v>12</v>
      </c>
      <c r="I103" s="31"/>
      <c r="J103" s="7">
        <f t="shared" si="29"/>
        <v>17</v>
      </c>
      <c r="K103" s="7">
        <f t="shared" si="31"/>
        <v>3</v>
      </c>
      <c r="M103" s="26">
        <f t="shared" si="30"/>
        <v>4.32183908045977</v>
      </c>
      <c r="O103" s="46">
        <f t="shared" si="28"/>
        <v>267.5538206896551</v>
      </c>
      <c r="Q103" s="7"/>
      <c r="R103" s="7"/>
      <c r="S103" s="7"/>
    </row>
    <row r="104" spans="2:19" ht="12.75">
      <c r="B104" s="78" t="s">
        <v>128</v>
      </c>
      <c r="C104" s="74" t="s">
        <v>71</v>
      </c>
      <c r="E104" s="79">
        <v>3.3</v>
      </c>
      <c r="F104" s="79">
        <v>2.5</v>
      </c>
      <c r="G104" s="7">
        <f t="shared" si="27"/>
        <v>8.25</v>
      </c>
      <c r="H104" s="109" t="s">
        <v>10</v>
      </c>
      <c r="I104" s="31"/>
      <c r="J104" s="7">
        <f t="shared" si="29"/>
        <v>23</v>
      </c>
      <c r="K104" s="7">
        <f t="shared" si="31"/>
        <v>-3</v>
      </c>
      <c r="M104" s="26">
        <f t="shared" si="30"/>
        <v>1.6393442622950818</v>
      </c>
      <c r="O104" s="46">
        <f t="shared" si="28"/>
        <v>-40.57377049180327</v>
      </c>
      <c r="Q104" s="7"/>
      <c r="R104" s="7"/>
      <c r="S104" s="7"/>
    </row>
    <row r="105" spans="2:19" ht="12.75">
      <c r="B105" s="78"/>
      <c r="C105" s="74" t="s">
        <v>71</v>
      </c>
      <c r="E105" s="79">
        <v>-0.9</v>
      </c>
      <c r="F105" s="79">
        <v>2</v>
      </c>
      <c r="G105" s="7">
        <f t="shared" si="27"/>
        <v>-1.8</v>
      </c>
      <c r="H105" s="109" t="s">
        <v>10</v>
      </c>
      <c r="I105" s="31"/>
      <c r="J105" s="7">
        <f t="shared" si="29"/>
        <v>23</v>
      </c>
      <c r="K105" s="7">
        <f t="shared" si="31"/>
        <v>-3</v>
      </c>
      <c r="M105" s="26">
        <f t="shared" si="30"/>
        <v>1.6393442622950818</v>
      </c>
      <c r="O105" s="46">
        <f t="shared" si="28"/>
        <v>8.852459016393441</v>
      </c>
      <c r="Q105" s="7"/>
      <c r="R105" s="7"/>
      <c r="S105" s="7"/>
    </row>
    <row r="106" spans="2:19" ht="12.75">
      <c r="B106" s="78"/>
      <c r="C106" s="74" t="s">
        <v>75</v>
      </c>
      <c r="E106" s="79">
        <v>0.9</v>
      </c>
      <c r="F106" s="79">
        <v>2</v>
      </c>
      <c r="G106" s="7">
        <f t="shared" si="27"/>
        <v>1.8</v>
      </c>
      <c r="H106" s="109" t="s">
        <v>10</v>
      </c>
      <c r="I106" s="31"/>
      <c r="J106" s="7">
        <f t="shared" si="29"/>
        <v>23</v>
      </c>
      <c r="K106" s="7">
        <f t="shared" si="31"/>
        <v>-3</v>
      </c>
      <c r="M106" s="26">
        <f t="shared" si="30"/>
        <v>1.2413793103448276</v>
      </c>
      <c r="O106" s="46">
        <f t="shared" si="28"/>
        <v>-6.70344827586207</v>
      </c>
      <c r="Q106" s="7"/>
      <c r="R106" s="7"/>
      <c r="S106" s="7"/>
    </row>
    <row r="107" spans="2:19" ht="12.75">
      <c r="B107" s="78"/>
      <c r="C107" s="74" t="s">
        <v>71</v>
      </c>
      <c r="E107" s="79">
        <v>1.6</v>
      </c>
      <c r="F107" s="79">
        <v>2.5</v>
      </c>
      <c r="G107" s="7">
        <f t="shared" si="27"/>
        <v>4</v>
      </c>
      <c r="H107" s="109" t="s">
        <v>8</v>
      </c>
      <c r="I107" s="31"/>
      <c r="J107" s="7">
        <f t="shared" si="29"/>
        <v>20</v>
      </c>
      <c r="K107" s="7">
        <f t="shared" si="31"/>
        <v>0</v>
      </c>
      <c r="M107" s="26">
        <f t="shared" si="30"/>
        <v>1.6393442622950818</v>
      </c>
      <c r="O107" s="46">
        <f t="shared" si="28"/>
        <v>0</v>
      </c>
      <c r="Q107" s="7"/>
      <c r="R107" s="7"/>
      <c r="S107" s="7"/>
    </row>
    <row r="108" spans="2:19" ht="12.75">
      <c r="B108" s="78"/>
      <c r="C108" s="74" t="s">
        <v>71</v>
      </c>
      <c r="E108" s="79">
        <v>-0.9</v>
      </c>
      <c r="F108" s="79">
        <v>2</v>
      </c>
      <c r="G108" s="7">
        <f t="shared" si="27"/>
        <v>-1.8</v>
      </c>
      <c r="H108" s="109" t="s">
        <v>8</v>
      </c>
      <c r="I108" s="31"/>
      <c r="J108" s="7">
        <f t="shared" si="29"/>
        <v>20</v>
      </c>
      <c r="K108" s="7">
        <f t="shared" si="31"/>
        <v>0</v>
      </c>
      <c r="M108" s="26">
        <f t="shared" si="30"/>
        <v>1.6393442622950818</v>
      </c>
      <c r="O108" s="46">
        <f t="shared" si="28"/>
        <v>0</v>
      </c>
      <c r="Q108" s="7"/>
      <c r="R108" s="7"/>
      <c r="S108" s="7"/>
    </row>
    <row r="109" spans="2:19" ht="12.75">
      <c r="B109" s="78"/>
      <c r="C109" s="74" t="s">
        <v>75</v>
      </c>
      <c r="E109" s="79">
        <v>0.9</v>
      </c>
      <c r="F109" s="79">
        <v>2</v>
      </c>
      <c r="G109" s="7">
        <f t="shared" si="27"/>
        <v>1.8</v>
      </c>
      <c r="H109" s="109" t="s">
        <v>8</v>
      </c>
      <c r="I109" s="31"/>
      <c r="J109" s="7">
        <f t="shared" si="29"/>
        <v>20</v>
      </c>
      <c r="K109" s="7">
        <f t="shared" si="31"/>
        <v>0</v>
      </c>
      <c r="M109" s="26">
        <f t="shared" si="30"/>
        <v>1.2413793103448276</v>
      </c>
      <c r="O109" s="46">
        <f t="shared" si="28"/>
        <v>0</v>
      </c>
      <c r="Q109" s="7"/>
      <c r="R109" s="7"/>
      <c r="S109" s="7"/>
    </row>
    <row r="110" spans="2:19" ht="12.75">
      <c r="B110" s="78" t="s">
        <v>129</v>
      </c>
      <c r="C110" s="74" t="s">
        <v>71</v>
      </c>
      <c r="E110" s="79">
        <v>3.6</v>
      </c>
      <c r="F110" s="79">
        <v>2.5</v>
      </c>
      <c r="G110" s="7">
        <f t="shared" si="27"/>
        <v>9</v>
      </c>
      <c r="H110" s="109" t="s">
        <v>8</v>
      </c>
      <c r="I110" s="31"/>
      <c r="J110" s="7">
        <f t="shared" si="29"/>
        <v>20</v>
      </c>
      <c r="K110" s="7">
        <f t="shared" si="31"/>
        <v>0</v>
      </c>
      <c r="M110" s="26">
        <f t="shared" si="30"/>
        <v>1.6393442622950818</v>
      </c>
      <c r="O110" s="46">
        <f t="shared" si="28"/>
        <v>0</v>
      </c>
      <c r="Q110" s="7"/>
      <c r="R110" s="7"/>
      <c r="S110" s="7"/>
    </row>
    <row r="111" spans="2:19" ht="12.75">
      <c r="B111" s="78"/>
      <c r="C111" s="74" t="s">
        <v>69</v>
      </c>
      <c r="E111" s="79">
        <v>0.5</v>
      </c>
      <c r="F111" s="79">
        <v>2.5</v>
      </c>
      <c r="G111" s="7">
        <f t="shared" si="27"/>
        <v>1.25</v>
      </c>
      <c r="H111" s="109" t="s">
        <v>18</v>
      </c>
      <c r="I111" s="31"/>
      <c r="J111" s="7">
        <f t="shared" si="29"/>
        <v>-10</v>
      </c>
      <c r="K111" s="7">
        <f t="shared" si="31"/>
        <v>30</v>
      </c>
      <c r="M111" s="26">
        <f t="shared" si="30"/>
        <v>0.1496900533137169</v>
      </c>
      <c r="O111" s="46">
        <f t="shared" si="28"/>
        <v>5.613376999264384</v>
      </c>
      <c r="Q111" s="7"/>
      <c r="R111" s="7"/>
      <c r="S111" s="7"/>
    </row>
    <row r="112" spans="2:19" ht="12.75">
      <c r="B112" s="78" t="s">
        <v>130</v>
      </c>
      <c r="C112" s="74" t="s">
        <v>68</v>
      </c>
      <c r="E112" s="79">
        <v>4.89</v>
      </c>
      <c r="F112" s="79">
        <v>2.5</v>
      </c>
      <c r="G112" s="7">
        <f t="shared" si="27"/>
        <v>12.225</v>
      </c>
      <c r="H112" s="109" t="s">
        <v>18</v>
      </c>
      <c r="I112" s="31"/>
      <c r="J112" s="7">
        <f t="shared" si="29"/>
        <v>-10</v>
      </c>
      <c r="K112" s="7">
        <f t="shared" si="31"/>
        <v>30</v>
      </c>
      <c r="M112" s="26">
        <f t="shared" si="30"/>
        <v>0.3363789944858009</v>
      </c>
      <c r="O112" s="46">
        <f t="shared" si="28"/>
        <v>123.36699622766747</v>
      </c>
      <c r="Q112" s="7"/>
      <c r="R112" s="7"/>
      <c r="S112" s="7"/>
    </row>
    <row r="113" spans="2:19" ht="12.75">
      <c r="B113" s="78"/>
      <c r="C113" s="74" t="s">
        <v>68</v>
      </c>
      <c r="E113" s="79">
        <v>-3</v>
      </c>
      <c r="F113" s="79">
        <v>1.2</v>
      </c>
      <c r="G113" s="7">
        <f t="shared" si="27"/>
        <v>-3.5999999999999996</v>
      </c>
      <c r="H113" s="109" t="s">
        <v>18</v>
      </c>
      <c r="I113" s="31"/>
      <c r="J113" s="7">
        <f t="shared" si="29"/>
        <v>-10</v>
      </c>
      <c r="K113" s="7">
        <f t="shared" si="31"/>
        <v>30</v>
      </c>
      <c r="M113" s="26">
        <f t="shared" si="30"/>
        <v>0.3363789944858009</v>
      </c>
      <c r="O113" s="46">
        <f t="shared" si="28"/>
        <v>-36.32893140446649</v>
      </c>
      <c r="Q113" s="7"/>
      <c r="R113" s="7"/>
      <c r="S113" s="7"/>
    </row>
    <row r="114" spans="2:19" ht="12.75">
      <c r="B114" s="78"/>
      <c r="C114" s="74" t="s">
        <v>73</v>
      </c>
      <c r="E114" s="79">
        <v>3</v>
      </c>
      <c r="F114" s="79">
        <v>1.2</v>
      </c>
      <c r="G114" s="7">
        <f t="shared" si="27"/>
        <v>3.5999999999999996</v>
      </c>
      <c r="H114" s="109" t="s">
        <v>18</v>
      </c>
      <c r="I114" s="31"/>
      <c r="J114" s="7">
        <f t="shared" si="29"/>
        <v>-10</v>
      </c>
      <c r="K114" s="7">
        <f t="shared" si="31"/>
        <v>30</v>
      </c>
      <c r="M114" s="26">
        <f t="shared" si="30"/>
        <v>1.7349999999999999</v>
      </c>
      <c r="O114" s="46">
        <f t="shared" si="28"/>
        <v>187.37999999999997</v>
      </c>
      <c r="Q114" s="7"/>
      <c r="R114" s="7"/>
      <c r="S114" s="7"/>
    </row>
    <row r="115" spans="2:19" ht="12.75">
      <c r="B115" s="78" t="s">
        <v>131</v>
      </c>
      <c r="C115" s="74" t="s">
        <v>68</v>
      </c>
      <c r="E115" s="79">
        <v>4.22</v>
      </c>
      <c r="F115" s="79">
        <v>2.5</v>
      </c>
      <c r="G115" s="7">
        <f t="shared" si="27"/>
        <v>10.549999999999999</v>
      </c>
      <c r="H115" s="109" t="s">
        <v>18</v>
      </c>
      <c r="I115" s="31"/>
      <c r="J115" s="7">
        <f t="shared" si="29"/>
        <v>-10</v>
      </c>
      <c r="K115" s="7">
        <f t="shared" si="31"/>
        <v>30</v>
      </c>
      <c r="M115" s="26">
        <f t="shared" si="30"/>
        <v>0.3363789944858009</v>
      </c>
      <c r="O115" s="46">
        <f t="shared" si="28"/>
        <v>106.46395175475597</v>
      </c>
      <c r="Q115" s="7"/>
      <c r="R115" s="7"/>
      <c r="S115" s="7"/>
    </row>
    <row r="116" spans="2:19" ht="12.75">
      <c r="B116" s="78"/>
      <c r="C116" s="74"/>
      <c r="E116" s="79"/>
      <c r="F116" s="79"/>
      <c r="G116" s="7"/>
      <c r="H116" s="109"/>
      <c r="I116" s="31"/>
      <c r="J116" s="48"/>
      <c r="K116" s="48"/>
      <c r="L116" s="49"/>
      <c r="M116" s="50" t="s">
        <v>176</v>
      </c>
      <c r="N116" s="51" t="s">
        <v>158</v>
      </c>
      <c r="O116" s="47">
        <f>SUM(O101:O115)</f>
        <v>574.6289812608072</v>
      </c>
      <c r="Q116" s="7"/>
      <c r="R116" s="7"/>
      <c r="S116" s="7"/>
    </row>
    <row r="117" spans="1:19" ht="12.75">
      <c r="A117" t="s">
        <v>11</v>
      </c>
      <c r="B117" s="78"/>
      <c r="C117" s="74" t="s">
        <v>66</v>
      </c>
      <c r="E117" s="79">
        <v>5.03</v>
      </c>
      <c r="F117" s="79">
        <v>3.6</v>
      </c>
      <c r="G117" s="7">
        <f t="shared" si="27"/>
        <v>18.108</v>
      </c>
      <c r="H117" s="109" t="s">
        <v>4</v>
      </c>
      <c r="I117" s="31"/>
      <c r="J117" s="7">
        <f aca="true" t="shared" si="32" ref="J117:J129">LOOKUP(H117,H$210:H$225,J$210:J$225)</f>
        <v>12.5</v>
      </c>
      <c r="K117" s="7">
        <f>Q$117-J117</f>
        <v>7.5</v>
      </c>
      <c r="M117" s="26">
        <f aca="true" t="shared" si="33" ref="M117:M129">LOOKUP(C117,C$210:C$228,M$210:M$228)</f>
        <v>2.0910573928518463</v>
      </c>
      <c r="O117" s="46">
        <f t="shared" si="28"/>
        <v>283.98650452320925</v>
      </c>
      <c r="Q117" s="7">
        <f>Temperaturen!B15</f>
        <v>20</v>
      </c>
      <c r="R117" s="7"/>
      <c r="S117" s="7">
        <f>'Oppervlaktes &amp; Volumes'!I19</f>
        <v>45.27</v>
      </c>
    </row>
    <row r="118" spans="1:19" ht="12.75">
      <c r="A118" t="s">
        <v>132</v>
      </c>
      <c r="B118" s="78"/>
      <c r="C118" s="74" t="s">
        <v>62</v>
      </c>
      <c r="E118" s="79">
        <v>5.03</v>
      </c>
      <c r="F118" s="79">
        <v>3.6</v>
      </c>
      <c r="G118" s="7">
        <f aca="true" t="shared" si="34" ref="G118:G138">E118*F118</f>
        <v>18.108</v>
      </c>
      <c r="H118" s="109" t="s">
        <v>12</v>
      </c>
      <c r="I118" s="31"/>
      <c r="J118" s="7">
        <f t="shared" si="32"/>
        <v>17</v>
      </c>
      <c r="K118" s="7">
        <f aca="true" t="shared" si="35" ref="K118:K129">Q$117-J118</f>
        <v>3</v>
      </c>
      <c r="M118" s="26">
        <f t="shared" si="33"/>
        <v>4.32183908045977</v>
      </c>
      <c r="O118" s="46">
        <f aca="true" t="shared" si="36" ref="O118:O138">M118*K118*G118</f>
        <v>234.77958620689654</v>
      </c>
      <c r="Q118" s="7"/>
      <c r="R118" s="7"/>
      <c r="S118" s="7"/>
    </row>
    <row r="119" spans="2:19" ht="12.75">
      <c r="B119" s="78" t="s">
        <v>128</v>
      </c>
      <c r="C119" s="74" t="s">
        <v>68</v>
      </c>
      <c r="E119" s="79">
        <v>5.03</v>
      </c>
      <c r="F119" s="79">
        <v>2.5</v>
      </c>
      <c r="G119" s="7">
        <f t="shared" si="34"/>
        <v>12.575000000000001</v>
      </c>
      <c r="H119" s="109" t="s">
        <v>18</v>
      </c>
      <c r="I119" s="31"/>
      <c r="J119" s="7">
        <f t="shared" si="32"/>
        <v>-10</v>
      </c>
      <c r="K119" s="7">
        <f t="shared" si="35"/>
        <v>30</v>
      </c>
      <c r="M119" s="26">
        <f t="shared" si="33"/>
        <v>0.3363789944858009</v>
      </c>
      <c r="O119" s="46">
        <f t="shared" si="36"/>
        <v>126.89897566976839</v>
      </c>
      <c r="Q119" s="7"/>
      <c r="R119" s="7"/>
      <c r="S119" s="7"/>
    </row>
    <row r="120" spans="2:19" ht="12.75">
      <c r="B120" s="78"/>
      <c r="C120" s="74" t="s">
        <v>68</v>
      </c>
      <c r="E120" s="79">
        <v>-3</v>
      </c>
      <c r="F120" s="79">
        <v>1.2</v>
      </c>
      <c r="G120" s="7">
        <f t="shared" si="34"/>
        <v>-3.5999999999999996</v>
      </c>
      <c r="H120" s="109" t="s">
        <v>18</v>
      </c>
      <c r="I120" s="31"/>
      <c r="J120" s="7">
        <f t="shared" si="32"/>
        <v>-10</v>
      </c>
      <c r="K120" s="7">
        <f t="shared" si="35"/>
        <v>30</v>
      </c>
      <c r="M120" s="26">
        <f t="shared" si="33"/>
        <v>0.3363789944858009</v>
      </c>
      <c r="O120" s="46">
        <f t="shared" si="36"/>
        <v>-36.32893140446649</v>
      </c>
      <c r="Q120" s="7"/>
      <c r="R120" s="7"/>
      <c r="S120" s="7"/>
    </row>
    <row r="121" spans="2:19" ht="12.75">
      <c r="B121" s="78"/>
      <c r="C121" s="74" t="s">
        <v>73</v>
      </c>
      <c r="E121" s="79">
        <v>3</v>
      </c>
      <c r="F121" s="79">
        <v>1.2</v>
      </c>
      <c r="G121" s="7">
        <f t="shared" si="34"/>
        <v>3.5999999999999996</v>
      </c>
      <c r="H121" s="109" t="s">
        <v>18</v>
      </c>
      <c r="I121" s="31"/>
      <c r="J121" s="7">
        <f t="shared" si="32"/>
        <v>-10</v>
      </c>
      <c r="K121" s="7">
        <f t="shared" si="35"/>
        <v>30</v>
      </c>
      <c r="M121" s="26">
        <f t="shared" si="33"/>
        <v>1.7349999999999999</v>
      </c>
      <c r="O121" s="46">
        <f t="shared" si="36"/>
        <v>187.37999999999997</v>
      </c>
      <c r="Q121" s="7"/>
      <c r="R121" s="7"/>
      <c r="S121" s="7"/>
    </row>
    <row r="122" spans="2:19" ht="12.75">
      <c r="B122" s="78" t="s">
        <v>129</v>
      </c>
      <c r="C122" s="74" t="s">
        <v>71</v>
      </c>
      <c r="E122" s="79">
        <v>3.6</v>
      </c>
      <c r="F122" s="79">
        <v>2.5</v>
      </c>
      <c r="G122" s="7">
        <f t="shared" si="34"/>
        <v>9</v>
      </c>
      <c r="H122" s="109" t="s">
        <v>8</v>
      </c>
      <c r="I122" s="31"/>
      <c r="J122" s="7">
        <f t="shared" si="32"/>
        <v>20</v>
      </c>
      <c r="K122" s="7">
        <f t="shared" si="35"/>
        <v>0</v>
      </c>
      <c r="M122" s="26">
        <f t="shared" si="33"/>
        <v>1.6393442622950818</v>
      </c>
      <c r="O122" s="46">
        <f t="shared" si="36"/>
        <v>0</v>
      </c>
      <c r="Q122" s="7"/>
      <c r="R122" s="7"/>
      <c r="S122" s="7"/>
    </row>
    <row r="123" spans="2:19" ht="12.75">
      <c r="B123" s="78" t="s">
        <v>130</v>
      </c>
      <c r="C123" s="74" t="s">
        <v>70</v>
      </c>
      <c r="E123" s="79">
        <v>1.6</v>
      </c>
      <c r="F123" s="79">
        <v>2.5</v>
      </c>
      <c r="G123" s="7">
        <f t="shared" si="34"/>
        <v>4</v>
      </c>
      <c r="H123" s="109" t="s">
        <v>8</v>
      </c>
      <c r="I123" s="31"/>
      <c r="J123" s="7">
        <f t="shared" si="32"/>
        <v>20</v>
      </c>
      <c r="K123" s="7">
        <f t="shared" si="35"/>
        <v>0</v>
      </c>
      <c r="M123" s="26">
        <f t="shared" si="33"/>
        <v>1.2875536480686693</v>
      </c>
      <c r="O123" s="46">
        <f t="shared" si="36"/>
        <v>0</v>
      </c>
      <c r="Q123" s="7"/>
      <c r="R123" s="7"/>
      <c r="S123" s="7"/>
    </row>
    <row r="124" spans="2:19" ht="12.75">
      <c r="B124" s="78"/>
      <c r="C124" s="74" t="s">
        <v>70</v>
      </c>
      <c r="E124" s="79">
        <v>-0.9</v>
      </c>
      <c r="F124" s="79">
        <v>2</v>
      </c>
      <c r="G124" s="7">
        <f t="shared" si="34"/>
        <v>-1.8</v>
      </c>
      <c r="H124" s="109" t="s">
        <v>8</v>
      </c>
      <c r="I124" s="31"/>
      <c r="J124" s="7">
        <f t="shared" si="32"/>
        <v>20</v>
      </c>
      <c r="K124" s="7">
        <f t="shared" si="35"/>
        <v>0</v>
      </c>
      <c r="M124" s="26">
        <f t="shared" si="33"/>
        <v>1.2875536480686693</v>
      </c>
      <c r="O124" s="46">
        <f t="shared" si="36"/>
        <v>0</v>
      </c>
      <c r="Q124" s="7"/>
      <c r="R124" s="7"/>
      <c r="S124" s="7"/>
    </row>
    <row r="125" spans="2:19" ht="12.75">
      <c r="B125" s="78"/>
      <c r="C125" s="74" t="s">
        <v>75</v>
      </c>
      <c r="E125" s="79">
        <v>0.9</v>
      </c>
      <c r="F125" s="79">
        <v>2</v>
      </c>
      <c r="G125" s="7">
        <f t="shared" si="34"/>
        <v>1.8</v>
      </c>
      <c r="H125" s="109" t="s">
        <v>8</v>
      </c>
      <c r="I125" s="31"/>
      <c r="J125" s="7">
        <f t="shared" si="32"/>
        <v>20</v>
      </c>
      <c r="K125" s="7">
        <f t="shared" si="35"/>
        <v>0</v>
      </c>
      <c r="M125" s="26">
        <f t="shared" si="33"/>
        <v>1.2413793103448276</v>
      </c>
      <c r="O125" s="46">
        <f t="shared" si="36"/>
        <v>0</v>
      </c>
      <c r="Q125" s="7"/>
      <c r="R125" s="7"/>
      <c r="S125" s="7"/>
    </row>
    <row r="126" spans="2:19" ht="12.75">
      <c r="B126" s="78"/>
      <c r="C126" s="74" t="s">
        <v>70</v>
      </c>
      <c r="E126" s="79">
        <v>3.3</v>
      </c>
      <c r="F126" s="79">
        <v>2.5</v>
      </c>
      <c r="G126" s="7">
        <f t="shared" si="34"/>
        <v>8.25</v>
      </c>
      <c r="H126" s="109" t="s">
        <v>10</v>
      </c>
      <c r="I126" s="31"/>
      <c r="J126" s="7">
        <f t="shared" si="32"/>
        <v>23</v>
      </c>
      <c r="K126" s="7">
        <f t="shared" si="35"/>
        <v>-3</v>
      </c>
      <c r="M126" s="26">
        <f t="shared" si="33"/>
        <v>1.2875536480686693</v>
      </c>
      <c r="O126" s="46">
        <f t="shared" si="36"/>
        <v>-31.866952789699567</v>
      </c>
      <c r="Q126" s="7"/>
      <c r="R126" s="7"/>
      <c r="S126" s="7"/>
    </row>
    <row r="127" spans="2:19" ht="12.75">
      <c r="B127" s="78"/>
      <c r="C127" s="74" t="s">
        <v>70</v>
      </c>
      <c r="E127" s="79">
        <v>-0.9</v>
      </c>
      <c r="F127" s="79">
        <v>2</v>
      </c>
      <c r="G127" s="7">
        <f t="shared" si="34"/>
        <v>-1.8</v>
      </c>
      <c r="H127" s="109" t="s">
        <v>10</v>
      </c>
      <c r="I127" s="31"/>
      <c r="J127" s="7">
        <f t="shared" si="32"/>
        <v>23</v>
      </c>
      <c r="K127" s="7">
        <f t="shared" si="35"/>
        <v>-3</v>
      </c>
      <c r="M127" s="26">
        <f t="shared" si="33"/>
        <v>1.2875536480686693</v>
      </c>
      <c r="O127" s="46">
        <f t="shared" si="36"/>
        <v>6.952789699570815</v>
      </c>
      <c r="Q127" s="7"/>
      <c r="R127" s="7"/>
      <c r="S127" s="7"/>
    </row>
    <row r="128" spans="2:19" ht="12.75">
      <c r="B128" s="78"/>
      <c r="C128" s="74" t="s">
        <v>75</v>
      </c>
      <c r="E128" s="79">
        <v>0.9</v>
      </c>
      <c r="F128" s="79">
        <v>2</v>
      </c>
      <c r="G128" s="7">
        <f t="shared" si="34"/>
        <v>1.8</v>
      </c>
      <c r="H128" s="109" t="s">
        <v>10</v>
      </c>
      <c r="I128" s="31"/>
      <c r="J128" s="7">
        <f t="shared" si="32"/>
        <v>23</v>
      </c>
      <c r="K128" s="7">
        <f t="shared" si="35"/>
        <v>-3</v>
      </c>
      <c r="M128" s="26">
        <f t="shared" si="33"/>
        <v>1.2413793103448276</v>
      </c>
      <c r="O128" s="46">
        <f t="shared" si="36"/>
        <v>-6.70344827586207</v>
      </c>
      <c r="Q128" s="7"/>
      <c r="R128" s="7"/>
      <c r="S128" s="7"/>
    </row>
    <row r="129" spans="2:19" ht="12.75">
      <c r="B129" s="78" t="s">
        <v>131</v>
      </c>
      <c r="C129" s="74" t="s">
        <v>68</v>
      </c>
      <c r="E129" s="79">
        <v>3.6</v>
      </c>
      <c r="F129" s="79">
        <v>2.5</v>
      </c>
      <c r="G129" s="7">
        <f t="shared" si="34"/>
        <v>9</v>
      </c>
      <c r="H129" s="109" t="s">
        <v>18</v>
      </c>
      <c r="I129" s="31"/>
      <c r="J129" s="7">
        <f t="shared" si="32"/>
        <v>-10</v>
      </c>
      <c r="K129" s="7">
        <f t="shared" si="35"/>
        <v>30</v>
      </c>
      <c r="M129" s="26">
        <f t="shared" si="33"/>
        <v>0.3363789944858009</v>
      </c>
      <c r="O129" s="46">
        <f t="shared" si="36"/>
        <v>90.82232851116623</v>
      </c>
      <c r="Q129" s="7"/>
      <c r="R129" s="7"/>
      <c r="S129" s="7"/>
    </row>
    <row r="130" spans="2:19" ht="12.75">
      <c r="B130" s="78"/>
      <c r="C130" s="74"/>
      <c r="E130" s="79"/>
      <c r="F130" s="79"/>
      <c r="G130" s="7"/>
      <c r="H130" s="109"/>
      <c r="I130" s="31"/>
      <c r="J130" s="48"/>
      <c r="K130" s="48"/>
      <c r="L130" s="49"/>
      <c r="M130" s="50" t="s">
        <v>177</v>
      </c>
      <c r="N130" s="51" t="s">
        <v>158</v>
      </c>
      <c r="O130" s="47">
        <f>SUM(O117:O129)</f>
        <v>855.920852140583</v>
      </c>
      <c r="Q130" s="7"/>
      <c r="R130" s="7"/>
      <c r="S130" s="7"/>
    </row>
    <row r="131" spans="1:19" ht="12.75">
      <c r="A131" t="s">
        <v>6</v>
      </c>
      <c r="B131" s="78"/>
      <c r="C131" s="74" t="s">
        <v>65</v>
      </c>
      <c r="E131" s="79">
        <v>2.9</v>
      </c>
      <c r="F131" s="79">
        <v>3.6</v>
      </c>
      <c r="G131" s="7">
        <f t="shared" si="34"/>
        <v>10.44</v>
      </c>
      <c r="H131" s="109" t="s">
        <v>0</v>
      </c>
      <c r="I131" s="31"/>
      <c r="J131" s="7">
        <f aca="true" t="shared" si="37" ref="J131:J144">LOOKUP(H131,H$210:H$225,J$210:J$225)</f>
        <v>18</v>
      </c>
      <c r="K131" s="7">
        <f>Q$131-J131</f>
        <v>5</v>
      </c>
      <c r="M131" s="26">
        <f aca="true" t="shared" si="38" ref="M131:M144">LOOKUP(C131,C$210:C$228,M$210:M$228)</f>
        <v>1.9676248953391011</v>
      </c>
      <c r="O131" s="46">
        <f t="shared" si="36"/>
        <v>102.71001953670107</v>
      </c>
      <c r="Q131" s="7">
        <f>Temperaturen!B4</f>
        <v>23</v>
      </c>
      <c r="R131" s="7"/>
      <c r="S131" s="7">
        <f>'Oppervlaktes &amp; Volumes'!I12</f>
        <v>37.984</v>
      </c>
    </row>
    <row r="132" spans="1:19" ht="12.75">
      <c r="A132" t="s">
        <v>132</v>
      </c>
      <c r="B132" s="78"/>
      <c r="C132" s="74" t="s">
        <v>65</v>
      </c>
      <c r="E132" s="79">
        <v>1.85</v>
      </c>
      <c r="F132" s="79">
        <v>2.6</v>
      </c>
      <c r="G132" s="7">
        <f t="shared" si="34"/>
        <v>4.8100000000000005</v>
      </c>
      <c r="H132" s="109" t="s">
        <v>1</v>
      </c>
      <c r="I132" s="31"/>
      <c r="J132" s="7">
        <f t="shared" si="37"/>
        <v>18</v>
      </c>
      <c r="K132" s="7">
        <f aca="true" t="shared" si="39" ref="K132:K144">Q$131-J132</f>
        <v>5</v>
      </c>
      <c r="M132" s="26">
        <f t="shared" si="38"/>
        <v>1.9676248953391011</v>
      </c>
      <c r="O132" s="46">
        <f t="shared" si="36"/>
        <v>47.32137873290538</v>
      </c>
      <c r="Q132" s="7"/>
      <c r="R132" s="7"/>
      <c r="S132" s="7"/>
    </row>
    <row r="133" spans="2:19" ht="12.75">
      <c r="B133" s="78"/>
      <c r="C133" s="74" t="s">
        <v>62</v>
      </c>
      <c r="E133" s="79">
        <v>3.6</v>
      </c>
      <c r="F133" s="79">
        <v>3.6</v>
      </c>
      <c r="G133" s="7">
        <f t="shared" si="34"/>
        <v>12.96</v>
      </c>
      <c r="H133" s="109" t="s">
        <v>12</v>
      </c>
      <c r="I133" s="31"/>
      <c r="J133" s="7">
        <f t="shared" si="37"/>
        <v>17</v>
      </c>
      <c r="K133" s="7">
        <f t="shared" si="39"/>
        <v>6</v>
      </c>
      <c r="M133" s="26">
        <f t="shared" si="38"/>
        <v>4.32183908045977</v>
      </c>
      <c r="O133" s="46">
        <f t="shared" si="36"/>
        <v>336.0662068965517</v>
      </c>
      <c r="Q133" s="7"/>
      <c r="R133" s="7"/>
      <c r="S133" s="7"/>
    </row>
    <row r="134" spans="2:19" ht="12.75">
      <c r="B134" s="78"/>
      <c r="C134" s="74" t="s">
        <v>62</v>
      </c>
      <c r="E134" s="79">
        <v>1.3</v>
      </c>
      <c r="F134" s="79">
        <v>1.76</v>
      </c>
      <c r="G134" s="7">
        <f t="shared" si="34"/>
        <v>2.2880000000000003</v>
      </c>
      <c r="H134" s="109" t="s">
        <v>12</v>
      </c>
      <c r="I134" s="31"/>
      <c r="J134" s="7">
        <f t="shared" si="37"/>
        <v>17</v>
      </c>
      <c r="K134" s="7">
        <f>Q$131-J134</f>
        <v>6</v>
      </c>
      <c r="M134" s="26">
        <f t="shared" si="38"/>
        <v>4.32183908045977</v>
      </c>
      <c r="O134" s="46">
        <f>M134*K134*G134</f>
        <v>59.33020689655173</v>
      </c>
      <c r="Q134" s="7"/>
      <c r="R134" s="7"/>
      <c r="S134" s="7"/>
    </row>
    <row r="135" spans="2:19" ht="12.75">
      <c r="B135" s="78" t="s">
        <v>128</v>
      </c>
      <c r="C135" s="74" t="s">
        <v>68</v>
      </c>
      <c r="E135" s="79">
        <v>4</v>
      </c>
      <c r="F135" s="79">
        <v>2.5</v>
      </c>
      <c r="G135" s="7">
        <f t="shared" si="34"/>
        <v>10</v>
      </c>
      <c r="H135" s="109" t="s">
        <v>18</v>
      </c>
      <c r="I135" s="31"/>
      <c r="J135" s="7">
        <f t="shared" si="37"/>
        <v>-10</v>
      </c>
      <c r="K135" s="7">
        <f t="shared" si="39"/>
        <v>33</v>
      </c>
      <c r="M135" s="26">
        <f t="shared" si="38"/>
        <v>0.3363789944858009</v>
      </c>
      <c r="O135" s="46">
        <f t="shared" si="36"/>
        <v>111.00506818031428</v>
      </c>
      <c r="Q135" s="7"/>
      <c r="R135" s="7"/>
      <c r="S135" s="7"/>
    </row>
    <row r="136" spans="2:19" ht="12.75">
      <c r="B136" s="78" t="s">
        <v>129</v>
      </c>
      <c r="C136" s="74" t="s">
        <v>68</v>
      </c>
      <c r="E136" s="79">
        <v>2.62</v>
      </c>
      <c r="F136" s="79">
        <v>2.5</v>
      </c>
      <c r="G136" s="7">
        <f t="shared" si="34"/>
        <v>6.550000000000001</v>
      </c>
      <c r="H136" s="109" t="s">
        <v>18</v>
      </c>
      <c r="I136" s="31"/>
      <c r="J136" s="7">
        <f t="shared" si="37"/>
        <v>-10</v>
      </c>
      <c r="K136" s="7">
        <f t="shared" si="39"/>
        <v>33</v>
      </c>
      <c r="M136" s="26">
        <f t="shared" si="38"/>
        <v>0.3363789944858009</v>
      </c>
      <c r="O136" s="46">
        <f t="shared" si="36"/>
        <v>72.70831965810586</v>
      </c>
      <c r="Q136" s="7"/>
      <c r="R136" s="7"/>
      <c r="S136" s="7"/>
    </row>
    <row r="137" spans="2:19" ht="12.75">
      <c r="B137" s="78"/>
      <c r="C137" s="74" t="s">
        <v>69</v>
      </c>
      <c r="E137" s="79">
        <v>1.8</v>
      </c>
      <c r="F137" s="79">
        <v>2.5</v>
      </c>
      <c r="G137" s="7">
        <f t="shared" si="34"/>
        <v>4.5</v>
      </c>
      <c r="H137" s="109" t="s">
        <v>18</v>
      </c>
      <c r="I137" s="31"/>
      <c r="J137" s="7">
        <f t="shared" si="37"/>
        <v>-10</v>
      </c>
      <c r="K137" s="7">
        <f t="shared" si="39"/>
        <v>33</v>
      </c>
      <c r="M137" s="26">
        <f t="shared" si="38"/>
        <v>0.1496900533137169</v>
      </c>
      <c r="O137" s="46">
        <f t="shared" si="36"/>
        <v>22.22897291708696</v>
      </c>
      <c r="Q137" s="7"/>
      <c r="R137" s="7"/>
      <c r="S137" s="7"/>
    </row>
    <row r="138" spans="2:19" ht="12.75">
      <c r="B138" s="78"/>
      <c r="C138" s="74" t="s">
        <v>69</v>
      </c>
      <c r="E138" s="79">
        <v>-1.8</v>
      </c>
      <c r="F138" s="79">
        <v>0.7</v>
      </c>
      <c r="G138" s="7">
        <f t="shared" si="34"/>
        <v>-1.26</v>
      </c>
      <c r="H138" s="109" t="s">
        <v>18</v>
      </c>
      <c r="I138" s="31"/>
      <c r="J138" s="7">
        <f t="shared" si="37"/>
        <v>-10</v>
      </c>
      <c r="K138" s="7">
        <f t="shared" si="39"/>
        <v>33</v>
      </c>
      <c r="M138" s="26">
        <f t="shared" si="38"/>
        <v>0.1496900533137169</v>
      </c>
      <c r="O138" s="46">
        <f t="shared" si="36"/>
        <v>-6.224112416784348</v>
      </c>
      <c r="Q138" s="7"/>
      <c r="R138" s="7"/>
      <c r="S138" s="7"/>
    </row>
    <row r="139" spans="2:19" ht="12.75">
      <c r="B139" s="78"/>
      <c r="C139" s="74" t="s">
        <v>73</v>
      </c>
      <c r="E139" s="79">
        <v>1.8</v>
      </c>
      <c r="F139" s="79">
        <v>0.7</v>
      </c>
      <c r="G139" s="7">
        <f aca="true" t="shared" si="40" ref="G139:G162">E139*F139</f>
        <v>1.26</v>
      </c>
      <c r="H139" s="109" t="s">
        <v>18</v>
      </c>
      <c r="I139" s="31"/>
      <c r="J139" s="7">
        <f t="shared" si="37"/>
        <v>-10</v>
      </c>
      <c r="K139" s="7">
        <f t="shared" si="39"/>
        <v>33</v>
      </c>
      <c r="M139" s="26">
        <f t="shared" si="38"/>
        <v>1.7349999999999999</v>
      </c>
      <c r="O139" s="46">
        <f aca="true" t="shared" si="41" ref="O139:O162">M139*K139*G139</f>
        <v>72.1413</v>
      </c>
      <c r="Q139" s="7"/>
      <c r="R139" s="7"/>
      <c r="S139" s="7"/>
    </row>
    <row r="140" spans="2:19" ht="12.75">
      <c r="B140" s="78" t="s">
        <v>130</v>
      </c>
      <c r="C140" s="74" t="s">
        <v>70</v>
      </c>
      <c r="E140" s="79">
        <v>4.85</v>
      </c>
      <c r="F140" s="79">
        <v>2.5</v>
      </c>
      <c r="G140" s="7">
        <f t="shared" si="40"/>
        <v>12.125</v>
      </c>
      <c r="H140" s="109" t="s">
        <v>5</v>
      </c>
      <c r="I140" s="31"/>
      <c r="J140" s="7">
        <f t="shared" si="37"/>
        <v>20</v>
      </c>
      <c r="K140" s="7">
        <f t="shared" si="39"/>
        <v>3</v>
      </c>
      <c r="M140" s="26">
        <f t="shared" si="38"/>
        <v>1.2875536480686693</v>
      </c>
      <c r="O140" s="46">
        <f t="shared" si="41"/>
        <v>46.834763948497844</v>
      </c>
      <c r="Q140" s="7"/>
      <c r="R140" s="7"/>
      <c r="S140" s="7"/>
    </row>
    <row r="141" spans="2:19" ht="12.75">
      <c r="B141" s="78"/>
      <c r="C141" s="74" t="s">
        <v>70</v>
      </c>
      <c r="E141" s="79">
        <v>-0.9</v>
      </c>
      <c r="F141" s="79">
        <v>2</v>
      </c>
      <c r="G141" s="7">
        <f t="shared" si="40"/>
        <v>-1.8</v>
      </c>
      <c r="H141" s="109" t="s">
        <v>5</v>
      </c>
      <c r="I141" s="31"/>
      <c r="J141" s="7">
        <f t="shared" si="37"/>
        <v>20</v>
      </c>
      <c r="K141" s="7">
        <f t="shared" si="39"/>
        <v>3</v>
      </c>
      <c r="M141" s="26">
        <f t="shared" si="38"/>
        <v>1.2875536480686693</v>
      </c>
      <c r="O141" s="46">
        <f t="shared" si="41"/>
        <v>-6.952789699570815</v>
      </c>
      <c r="Q141" s="7"/>
      <c r="R141" s="7"/>
      <c r="S141" s="7"/>
    </row>
    <row r="142" spans="2:19" ht="12.75">
      <c r="B142" s="78"/>
      <c r="C142" s="74" t="s">
        <v>75</v>
      </c>
      <c r="E142" s="79">
        <v>0.9</v>
      </c>
      <c r="F142" s="79">
        <v>2</v>
      </c>
      <c r="G142" s="7">
        <f t="shared" si="40"/>
        <v>1.8</v>
      </c>
      <c r="H142" s="109" t="s">
        <v>5</v>
      </c>
      <c r="I142" s="31"/>
      <c r="J142" s="7">
        <f t="shared" si="37"/>
        <v>20</v>
      </c>
      <c r="K142" s="7">
        <f t="shared" si="39"/>
        <v>3</v>
      </c>
      <c r="M142" s="26">
        <f t="shared" si="38"/>
        <v>1.2413793103448276</v>
      </c>
      <c r="O142" s="46">
        <f t="shared" si="41"/>
        <v>6.70344827586207</v>
      </c>
      <c r="Q142" s="7"/>
      <c r="R142" s="7"/>
      <c r="S142" s="7"/>
    </row>
    <row r="143" spans="2:19" ht="12.75">
      <c r="B143" s="78" t="s">
        <v>131</v>
      </c>
      <c r="C143" s="74" t="s">
        <v>70</v>
      </c>
      <c r="E143" s="79">
        <v>1.76</v>
      </c>
      <c r="F143" s="79">
        <v>2.5</v>
      </c>
      <c r="G143" s="7">
        <f t="shared" si="40"/>
        <v>4.4</v>
      </c>
      <c r="H143" s="109" t="s">
        <v>8</v>
      </c>
      <c r="I143" s="31"/>
      <c r="J143" s="7">
        <f t="shared" si="37"/>
        <v>20</v>
      </c>
      <c r="K143" s="7">
        <f t="shared" si="39"/>
        <v>3</v>
      </c>
      <c r="M143" s="26">
        <f t="shared" si="38"/>
        <v>1.2875536480686693</v>
      </c>
      <c r="O143" s="46">
        <f t="shared" si="41"/>
        <v>16.99570815450644</v>
      </c>
      <c r="Q143" s="7"/>
      <c r="R143" s="7"/>
      <c r="S143" s="7"/>
    </row>
    <row r="144" spans="2:19" ht="12.75">
      <c r="B144" s="78"/>
      <c r="C144" s="74" t="s">
        <v>70</v>
      </c>
      <c r="E144" s="79">
        <v>3</v>
      </c>
      <c r="F144" s="79">
        <v>2.5</v>
      </c>
      <c r="G144" s="7">
        <f t="shared" si="40"/>
        <v>7.5</v>
      </c>
      <c r="H144" s="109" t="s">
        <v>7</v>
      </c>
      <c r="I144" s="31"/>
      <c r="J144" s="7">
        <f t="shared" si="37"/>
        <v>18</v>
      </c>
      <c r="K144" s="7">
        <f t="shared" si="39"/>
        <v>5</v>
      </c>
      <c r="M144" s="26">
        <f t="shared" si="38"/>
        <v>1.2875536480686693</v>
      </c>
      <c r="O144" s="46">
        <f t="shared" si="41"/>
        <v>48.283261802575105</v>
      </c>
      <c r="Q144" s="7"/>
      <c r="R144" s="7"/>
      <c r="S144" s="7"/>
    </row>
    <row r="145" spans="2:19" ht="12.75">
      <c r="B145" s="78"/>
      <c r="C145" s="74"/>
      <c r="E145" s="79"/>
      <c r="F145" s="79"/>
      <c r="G145" s="7"/>
      <c r="H145" s="109"/>
      <c r="I145" s="31"/>
      <c r="J145" s="48"/>
      <c r="K145" s="48"/>
      <c r="L145" s="49"/>
      <c r="M145" s="50" t="s">
        <v>178</v>
      </c>
      <c r="N145" s="51" t="s">
        <v>158</v>
      </c>
      <c r="O145" s="47">
        <f>SUM(O131:O144)</f>
        <v>929.1517528833035</v>
      </c>
      <c r="Q145" s="7"/>
      <c r="R145" s="7"/>
      <c r="S145" s="7"/>
    </row>
    <row r="146" spans="1:19" ht="12.75">
      <c r="A146" t="s">
        <v>10</v>
      </c>
      <c r="B146" s="78"/>
      <c r="C146" s="74" t="s">
        <v>65</v>
      </c>
      <c r="E146" s="79">
        <v>3.3</v>
      </c>
      <c r="F146" s="79">
        <v>1.3</v>
      </c>
      <c r="G146" s="7">
        <f t="shared" si="40"/>
        <v>4.29</v>
      </c>
      <c r="H146" s="109" t="s">
        <v>134</v>
      </c>
      <c r="I146" s="31"/>
      <c r="J146" s="7">
        <f aca="true" t="shared" si="42" ref="J146:J157">LOOKUP(H146,H$210:H$225,J$210:J$225)</f>
        <v>22</v>
      </c>
      <c r="K146" s="7">
        <f>Q$146-J146</f>
        <v>1</v>
      </c>
      <c r="M146" s="26">
        <f aca="true" t="shared" si="43" ref="M146:M157">LOOKUP(C146,C$210:C$228,M$210:M$228)</f>
        <v>1.9676248953391011</v>
      </c>
      <c r="O146" s="46">
        <f t="shared" si="41"/>
        <v>8.441110801004744</v>
      </c>
      <c r="Q146" s="7">
        <f>Temperaturen!B7</f>
        <v>23</v>
      </c>
      <c r="R146" s="7"/>
      <c r="S146" s="7">
        <f>'Oppervlaktes &amp; Volumes'!I18</f>
        <v>10.725</v>
      </c>
    </row>
    <row r="147" spans="1:19" ht="12.75">
      <c r="A147" t="s">
        <v>132</v>
      </c>
      <c r="B147" s="78"/>
      <c r="C147" s="74" t="s">
        <v>62</v>
      </c>
      <c r="E147" s="79">
        <v>3.3</v>
      </c>
      <c r="F147" s="79">
        <v>1.3</v>
      </c>
      <c r="G147" s="7">
        <f t="shared" si="40"/>
        <v>4.29</v>
      </c>
      <c r="H147" s="109" t="s">
        <v>12</v>
      </c>
      <c r="I147" s="31"/>
      <c r="J147" s="7">
        <f t="shared" si="42"/>
        <v>17</v>
      </c>
      <c r="K147" s="7">
        <f aca="true" t="shared" si="44" ref="K147:K157">Q$146-J147</f>
        <v>6</v>
      </c>
      <c r="M147" s="26">
        <f t="shared" si="43"/>
        <v>4.32183908045977</v>
      </c>
      <c r="O147" s="46">
        <f t="shared" si="41"/>
        <v>111.24413793103447</v>
      </c>
      <c r="Q147" s="7"/>
      <c r="R147" s="7"/>
      <c r="S147" s="7"/>
    </row>
    <row r="148" spans="2:19" ht="12.75">
      <c r="B148" s="78" t="s">
        <v>128</v>
      </c>
      <c r="C148" s="74" t="s">
        <v>70</v>
      </c>
      <c r="E148" s="79">
        <v>3.3</v>
      </c>
      <c r="F148" s="79">
        <v>2.5</v>
      </c>
      <c r="G148" s="7">
        <f t="shared" si="40"/>
        <v>8.25</v>
      </c>
      <c r="H148" s="109" t="s">
        <v>11</v>
      </c>
      <c r="I148" s="31"/>
      <c r="J148" s="7">
        <f t="shared" si="42"/>
        <v>20</v>
      </c>
      <c r="K148" s="7">
        <f t="shared" si="44"/>
        <v>3</v>
      </c>
      <c r="M148" s="26">
        <f t="shared" si="43"/>
        <v>1.2875536480686693</v>
      </c>
      <c r="O148" s="46">
        <f t="shared" si="41"/>
        <v>31.866952789699567</v>
      </c>
      <c r="Q148" s="7"/>
      <c r="R148" s="7"/>
      <c r="S148" s="7"/>
    </row>
    <row r="149" spans="2:19" ht="12.75">
      <c r="B149" s="78"/>
      <c r="C149" s="74" t="s">
        <v>70</v>
      </c>
      <c r="E149" s="79">
        <v>-0.9</v>
      </c>
      <c r="F149" s="79">
        <v>2</v>
      </c>
      <c r="G149" s="7">
        <f t="shared" si="40"/>
        <v>-1.8</v>
      </c>
      <c r="H149" s="109" t="s">
        <v>11</v>
      </c>
      <c r="I149" s="31"/>
      <c r="J149" s="7">
        <f t="shared" si="42"/>
        <v>20</v>
      </c>
      <c r="K149" s="7">
        <f t="shared" si="44"/>
        <v>3</v>
      </c>
      <c r="M149" s="26">
        <f t="shared" si="43"/>
        <v>1.2875536480686693</v>
      </c>
      <c r="O149" s="46">
        <f t="shared" si="41"/>
        <v>-6.952789699570815</v>
      </c>
      <c r="Q149" s="7"/>
      <c r="R149" s="7"/>
      <c r="S149" s="7"/>
    </row>
    <row r="150" spans="2:19" ht="12.75">
      <c r="B150" s="78"/>
      <c r="C150" s="74" t="s">
        <v>75</v>
      </c>
      <c r="E150" s="79">
        <v>0.9</v>
      </c>
      <c r="F150" s="79">
        <v>2</v>
      </c>
      <c r="G150" s="7">
        <f t="shared" si="40"/>
        <v>1.8</v>
      </c>
      <c r="H150" s="109" t="s">
        <v>11</v>
      </c>
      <c r="I150" s="31"/>
      <c r="J150" s="7">
        <f t="shared" si="42"/>
        <v>20</v>
      </c>
      <c r="K150" s="7">
        <f t="shared" si="44"/>
        <v>3</v>
      </c>
      <c r="M150" s="26">
        <f t="shared" si="43"/>
        <v>1.2413793103448276</v>
      </c>
      <c r="O150" s="46">
        <f t="shared" si="41"/>
        <v>6.70344827586207</v>
      </c>
      <c r="Q150" s="7"/>
      <c r="R150" s="7"/>
      <c r="S150" s="7"/>
    </row>
    <row r="151" spans="2:19" ht="12.75">
      <c r="B151" s="78" t="s">
        <v>129</v>
      </c>
      <c r="C151" s="74" t="s">
        <v>71</v>
      </c>
      <c r="E151" s="79">
        <v>1.3</v>
      </c>
      <c r="F151" s="79">
        <v>2.5</v>
      </c>
      <c r="G151" s="7">
        <f t="shared" si="40"/>
        <v>3.25</v>
      </c>
      <c r="H151" s="109" t="s">
        <v>8</v>
      </c>
      <c r="I151" s="31"/>
      <c r="J151" s="7">
        <f t="shared" si="42"/>
        <v>20</v>
      </c>
      <c r="K151" s="7">
        <f t="shared" si="44"/>
        <v>3</v>
      </c>
      <c r="M151" s="26">
        <f t="shared" si="43"/>
        <v>1.6393442622950818</v>
      </c>
      <c r="O151" s="46">
        <f t="shared" si="41"/>
        <v>15.983606557377048</v>
      </c>
      <c r="Q151" s="7"/>
      <c r="R151" s="7"/>
      <c r="S151" s="7"/>
    </row>
    <row r="152" spans="2:19" ht="12.75">
      <c r="B152" s="78" t="s">
        <v>130</v>
      </c>
      <c r="C152" s="74" t="s">
        <v>70</v>
      </c>
      <c r="E152" s="79">
        <v>3.3</v>
      </c>
      <c r="F152" s="79">
        <v>2.5</v>
      </c>
      <c r="G152" s="7">
        <f t="shared" si="40"/>
        <v>8.25</v>
      </c>
      <c r="H152" s="109" t="s">
        <v>9</v>
      </c>
      <c r="I152" s="31"/>
      <c r="J152" s="7">
        <f t="shared" si="42"/>
        <v>20</v>
      </c>
      <c r="K152" s="7">
        <f t="shared" si="44"/>
        <v>3</v>
      </c>
      <c r="M152" s="26">
        <f t="shared" si="43"/>
        <v>1.2875536480686693</v>
      </c>
      <c r="O152" s="46">
        <f t="shared" si="41"/>
        <v>31.866952789699567</v>
      </c>
      <c r="Q152" s="7"/>
      <c r="R152" s="7"/>
      <c r="S152" s="7"/>
    </row>
    <row r="153" spans="2:19" ht="12.75">
      <c r="B153" s="78"/>
      <c r="C153" s="74" t="s">
        <v>70</v>
      </c>
      <c r="E153" s="79">
        <v>-0.9</v>
      </c>
      <c r="F153" s="79">
        <v>2</v>
      </c>
      <c r="G153" s="7">
        <f t="shared" si="40"/>
        <v>-1.8</v>
      </c>
      <c r="H153" s="109" t="s">
        <v>9</v>
      </c>
      <c r="I153" s="31"/>
      <c r="J153" s="7">
        <f t="shared" si="42"/>
        <v>20</v>
      </c>
      <c r="K153" s="7">
        <f t="shared" si="44"/>
        <v>3</v>
      </c>
      <c r="M153" s="26">
        <f t="shared" si="43"/>
        <v>1.2875536480686693</v>
      </c>
      <c r="O153" s="46">
        <f t="shared" si="41"/>
        <v>-6.952789699570815</v>
      </c>
      <c r="Q153" s="7"/>
      <c r="R153" s="7"/>
      <c r="S153" s="7"/>
    </row>
    <row r="154" spans="2:19" ht="12.75">
      <c r="B154" s="78"/>
      <c r="C154" s="74" t="s">
        <v>75</v>
      </c>
      <c r="E154" s="79">
        <v>0.9</v>
      </c>
      <c r="F154" s="79">
        <v>2</v>
      </c>
      <c r="G154" s="7">
        <f t="shared" si="40"/>
        <v>1.8</v>
      </c>
      <c r="H154" s="109" t="s">
        <v>9</v>
      </c>
      <c r="I154" s="31"/>
      <c r="J154" s="7">
        <f t="shared" si="42"/>
        <v>20</v>
      </c>
      <c r="K154" s="7">
        <f t="shared" si="44"/>
        <v>3</v>
      </c>
      <c r="M154" s="26">
        <f t="shared" si="43"/>
        <v>1.2413793103448276</v>
      </c>
      <c r="O154" s="46">
        <f t="shared" si="41"/>
        <v>6.70344827586207</v>
      </c>
      <c r="Q154" s="7"/>
      <c r="R154" s="7"/>
      <c r="S154" s="7"/>
    </row>
    <row r="155" spans="2:19" ht="12.75">
      <c r="B155" s="78" t="s">
        <v>131</v>
      </c>
      <c r="C155" s="74" t="s">
        <v>69</v>
      </c>
      <c r="E155" s="79">
        <v>1.3</v>
      </c>
      <c r="F155" s="79">
        <v>2.5</v>
      </c>
      <c r="G155" s="7">
        <f t="shared" si="40"/>
        <v>3.25</v>
      </c>
      <c r="H155" s="109" t="s">
        <v>18</v>
      </c>
      <c r="I155" s="31"/>
      <c r="J155" s="7">
        <f t="shared" si="42"/>
        <v>-10</v>
      </c>
      <c r="K155" s="7">
        <f t="shared" si="44"/>
        <v>33</v>
      </c>
      <c r="M155" s="26">
        <f t="shared" si="43"/>
        <v>0.1496900533137169</v>
      </c>
      <c r="O155" s="46">
        <f t="shared" si="41"/>
        <v>16.054258217896137</v>
      </c>
      <c r="Q155" s="7"/>
      <c r="R155" s="7"/>
      <c r="S155" s="7"/>
    </row>
    <row r="156" spans="2:19" ht="12.75">
      <c r="B156" s="78"/>
      <c r="C156" s="74" t="s">
        <v>69</v>
      </c>
      <c r="E156" s="79">
        <v>-1.3</v>
      </c>
      <c r="F156" s="79">
        <v>0.7</v>
      </c>
      <c r="G156" s="7">
        <f t="shared" si="40"/>
        <v>-0.9099999999999999</v>
      </c>
      <c r="H156" s="109" t="s">
        <v>18</v>
      </c>
      <c r="I156" s="31"/>
      <c r="J156" s="7">
        <f t="shared" si="42"/>
        <v>-10</v>
      </c>
      <c r="K156" s="7">
        <f t="shared" si="44"/>
        <v>33</v>
      </c>
      <c r="M156" s="26">
        <f t="shared" si="43"/>
        <v>0.1496900533137169</v>
      </c>
      <c r="O156" s="46">
        <f t="shared" si="41"/>
        <v>-4.495192301010918</v>
      </c>
      <c r="Q156" s="7"/>
      <c r="R156" s="7"/>
      <c r="S156" s="7"/>
    </row>
    <row r="157" spans="2:19" ht="12.75">
      <c r="B157" s="78"/>
      <c r="C157" s="74" t="s">
        <v>73</v>
      </c>
      <c r="E157" s="79">
        <v>1.3</v>
      </c>
      <c r="F157" s="79">
        <v>0.7</v>
      </c>
      <c r="G157" s="7">
        <f t="shared" si="40"/>
        <v>0.9099999999999999</v>
      </c>
      <c r="H157" s="109" t="s">
        <v>18</v>
      </c>
      <c r="I157" s="31"/>
      <c r="J157" s="7">
        <f t="shared" si="42"/>
        <v>-10</v>
      </c>
      <c r="K157" s="7">
        <f t="shared" si="44"/>
        <v>33</v>
      </c>
      <c r="M157" s="26">
        <f t="shared" si="43"/>
        <v>1.7349999999999999</v>
      </c>
      <c r="O157" s="46">
        <f t="shared" si="41"/>
        <v>52.10204999999999</v>
      </c>
      <c r="Q157" s="7"/>
      <c r="R157" s="7"/>
      <c r="S157" s="7"/>
    </row>
    <row r="158" spans="2:19" ht="12.75">
      <c r="B158" s="78"/>
      <c r="C158" s="74"/>
      <c r="E158" s="79"/>
      <c r="F158" s="79"/>
      <c r="G158" s="7"/>
      <c r="H158" s="109"/>
      <c r="I158" s="31"/>
      <c r="J158" s="48"/>
      <c r="K158" s="48"/>
      <c r="L158" s="49"/>
      <c r="M158" s="50" t="s">
        <v>179</v>
      </c>
      <c r="N158" s="51" t="s">
        <v>158</v>
      </c>
      <c r="O158" s="47">
        <f>SUM(O146:O157)</f>
        <v>262.5651939382831</v>
      </c>
      <c r="Q158" s="7"/>
      <c r="R158" s="7"/>
      <c r="S158" s="7"/>
    </row>
    <row r="159" spans="1:19" ht="12.75">
      <c r="A159" t="s">
        <v>154</v>
      </c>
      <c r="B159" s="78"/>
      <c r="C159" s="74" t="s">
        <v>65</v>
      </c>
      <c r="E159" s="79">
        <v>0.9</v>
      </c>
      <c r="F159" s="79">
        <v>1.75</v>
      </c>
      <c r="G159" s="7">
        <f t="shared" si="40"/>
        <v>1.575</v>
      </c>
      <c r="H159" s="109" t="s">
        <v>2</v>
      </c>
      <c r="I159" s="31"/>
      <c r="J159" s="7">
        <f aca="true" t="shared" si="45" ref="J159:J166">LOOKUP(H159,H$210:H$225,J$210:J$225)</f>
        <v>18</v>
      </c>
      <c r="K159" s="7">
        <f>Q$159-J159</f>
        <v>0</v>
      </c>
      <c r="M159" s="26">
        <f aca="true" t="shared" si="46" ref="M159:M166">LOOKUP(C159,C$210:C$228,M$210:M$228)</f>
        <v>1.9676248953391011</v>
      </c>
      <c r="O159" s="46">
        <f t="shared" si="41"/>
        <v>0</v>
      </c>
      <c r="Q159" s="7">
        <f>Temperaturen!B18</f>
        <v>18</v>
      </c>
      <c r="R159" s="7"/>
      <c r="S159" s="7">
        <f>'Oppervlaktes &amp; Volumes'!I14</f>
        <v>3.9375</v>
      </c>
    </row>
    <row r="160" spans="2:19" ht="12.75">
      <c r="B160" s="78"/>
      <c r="C160" s="74" t="s">
        <v>62</v>
      </c>
      <c r="E160" s="79">
        <v>0.9</v>
      </c>
      <c r="F160" s="79">
        <v>1.75</v>
      </c>
      <c r="G160" s="7">
        <f t="shared" si="40"/>
        <v>1.575</v>
      </c>
      <c r="H160" s="109" t="s">
        <v>12</v>
      </c>
      <c r="I160" s="31"/>
      <c r="J160" s="7">
        <f t="shared" si="45"/>
        <v>17</v>
      </c>
      <c r="K160" s="7">
        <f aca="true" t="shared" si="47" ref="K160:K166">Q$159-J160</f>
        <v>1</v>
      </c>
      <c r="M160" s="26">
        <f t="shared" si="46"/>
        <v>4.32183908045977</v>
      </c>
      <c r="O160" s="46">
        <f t="shared" si="41"/>
        <v>6.8068965517241375</v>
      </c>
      <c r="Q160" s="7"/>
      <c r="R160" s="7"/>
      <c r="S160" s="7"/>
    </row>
    <row r="161" spans="2:19" ht="12.75">
      <c r="B161" s="78" t="s">
        <v>128</v>
      </c>
      <c r="C161" s="74" t="s">
        <v>68</v>
      </c>
      <c r="E161" s="79">
        <v>0.9</v>
      </c>
      <c r="F161" s="79">
        <v>2.5</v>
      </c>
      <c r="G161" s="7">
        <f t="shared" si="40"/>
        <v>2.25</v>
      </c>
      <c r="H161" s="109" t="s">
        <v>18</v>
      </c>
      <c r="I161" s="31"/>
      <c r="J161" s="7">
        <f t="shared" si="45"/>
        <v>-10</v>
      </c>
      <c r="K161" s="7">
        <f t="shared" si="47"/>
        <v>28</v>
      </c>
      <c r="M161" s="26">
        <f t="shared" si="46"/>
        <v>0.3363789944858009</v>
      </c>
      <c r="O161" s="46">
        <f t="shared" si="41"/>
        <v>21.191876652605455</v>
      </c>
      <c r="Q161" s="7"/>
      <c r="R161" s="7"/>
      <c r="S161" s="7"/>
    </row>
    <row r="162" spans="2:19" ht="12.75">
      <c r="B162" s="78" t="s">
        <v>129</v>
      </c>
      <c r="C162" s="74" t="s">
        <v>71</v>
      </c>
      <c r="E162" s="79">
        <v>1.75</v>
      </c>
      <c r="F162" s="79">
        <v>2.5</v>
      </c>
      <c r="G162" s="7">
        <f t="shared" si="40"/>
        <v>4.375</v>
      </c>
      <c r="H162" s="109" t="s">
        <v>6</v>
      </c>
      <c r="I162" s="31"/>
      <c r="J162" s="7">
        <f t="shared" si="45"/>
        <v>23</v>
      </c>
      <c r="K162" s="7">
        <f t="shared" si="47"/>
        <v>-5</v>
      </c>
      <c r="M162" s="26">
        <f t="shared" si="46"/>
        <v>1.6393442622950818</v>
      </c>
      <c r="O162" s="46">
        <f t="shared" si="41"/>
        <v>-35.86065573770492</v>
      </c>
      <c r="Q162" s="7"/>
      <c r="R162" s="7"/>
      <c r="S162" s="7"/>
    </row>
    <row r="163" spans="2:19" ht="12.75">
      <c r="B163" s="78" t="s">
        <v>130</v>
      </c>
      <c r="C163" s="74" t="s">
        <v>71</v>
      </c>
      <c r="E163" s="79">
        <v>0.9</v>
      </c>
      <c r="F163" s="79">
        <v>2.5</v>
      </c>
      <c r="G163" s="7">
        <f aca="true" t="shared" si="48" ref="G163:G204">E163*F163</f>
        <v>2.25</v>
      </c>
      <c r="H163" s="109" t="s">
        <v>6</v>
      </c>
      <c r="I163" s="31"/>
      <c r="J163" s="7">
        <f t="shared" si="45"/>
        <v>23</v>
      </c>
      <c r="K163" s="7">
        <f t="shared" si="47"/>
        <v>-5</v>
      </c>
      <c r="M163" s="26">
        <f t="shared" si="46"/>
        <v>1.6393442622950818</v>
      </c>
      <c r="O163" s="46">
        <f aca="true" t="shared" si="49" ref="O163:O204">M163*K163*G163</f>
        <v>-18.442622950819672</v>
      </c>
      <c r="Q163" s="7"/>
      <c r="R163" s="7"/>
      <c r="S163" s="7"/>
    </row>
    <row r="164" spans="2:19" ht="12.75">
      <c r="B164" s="78" t="s">
        <v>131</v>
      </c>
      <c r="C164" s="74" t="s">
        <v>70</v>
      </c>
      <c r="E164" s="79">
        <v>1.75</v>
      </c>
      <c r="F164" s="79">
        <v>2.5</v>
      </c>
      <c r="G164" s="7">
        <f t="shared" si="48"/>
        <v>4.375</v>
      </c>
      <c r="H164" s="109" t="s">
        <v>8</v>
      </c>
      <c r="I164" s="31"/>
      <c r="J164" s="7">
        <f t="shared" si="45"/>
        <v>20</v>
      </c>
      <c r="K164" s="7">
        <f t="shared" si="47"/>
        <v>-2</v>
      </c>
      <c r="M164" s="26">
        <f t="shared" si="46"/>
        <v>1.2875536480686693</v>
      </c>
      <c r="O164" s="46">
        <f t="shared" si="49"/>
        <v>-11.266094420600856</v>
      </c>
      <c r="Q164" s="7"/>
      <c r="R164" s="7"/>
      <c r="S164" s="7"/>
    </row>
    <row r="165" spans="2:19" ht="12.75">
      <c r="B165" s="78"/>
      <c r="C165" s="74" t="s">
        <v>70</v>
      </c>
      <c r="E165" s="79">
        <v>-0.9</v>
      </c>
      <c r="F165" s="79">
        <v>2</v>
      </c>
      <c r="G165" s="7">
        <f t="shared" si="48"/>
        <v>-1.8</v>
      </c>
      <c r="H165" s="109" t="s">
        <v>8</v>
      </c>
      <c r="I165" s="31"/>
      <c r="J165" s="7">
        <f t="shared" si="45"/>
        <v>20</v>
      </c>
      <c r="K165" s="7">
        <f t="shared" si="47"/>
        <v>-2</v>
      </c>
      <c r="M165" s="26">
        <f t="shared" si="46"/>
        <v>1.2875536480686693</v>
      </c>
      <c r="O165" s="46">
        <f t="shared" si="49"/>
        <v>4.63519313304721</v>
      </c>
      <c r="Q165" s="7"/>
      <c r="R165" s="7"/>
      <c r="S165" s="7"/>
    </row>
    <row r="166" spans="2:19" ht="12.75">
      <c r="B166" s="78"/>
      <c r="C166" s="74" t="s">
        <v>75</v>
      </c>
      <c r="E166" s="79">
        <v>0.9</v>
      </c>
      <c r="F166" s="79">
        <v>2</v>
      </c>
      <c r="G166" s="7">
        <f t="shared" si="48"/>
        <v>1.8</v>
      </c>
      <c r="H166" s="109" t="s">
        <v>8</v>
      </c>
      <c r="I166" s="31"/>
      <c r="J166" s="7">
        <f t="shared" si="45"/>
        <v>20</v>
      </c>
      <c r="K166" s="7">
        <f t="shared" si="47"/>
        <v>-2</v>
      </c>
      <c r="M166" s="26">
        <f t="shared" si="46"/>
        <v>1.2413793103448276</v>
      </c>
      <c r="O166" s="46">
        <f t="shared" si="49"/>
        <v>-4.468965517241379</v>
      </c>
      <c r="Q166" s="7"/>
      <c r="R166" s="7"/>
      <c r="S166" s="7"/>
    </row>
    <row r="167" spans="2:19" ht="12.75">
      <c r="B167" s="78"/>
      <c r="C167" s="74"/>
      <c r="E167" s="79"/>
      <c r="F167" s="79"/>
      <c r="G167" s="7"/>
      <c r="H167" s="109"/>
      <c r="I167" s="31"/>
      <c r="J167" s="48"/>
      <c r="K167" s="48"/>
      <c r="L167" s="49"/>
      <c r="M167" s="50" t="s">
        <v>180</v>
      </c>
      <c r="N167" s="51" t="s">
        <v>158</v>
      </c>
      <c r="O167" s="47">
        <f>SUM(O159:O166)</f>
        <v>-37.404372288990025</v>
      </c>
      <c r="Q167" s="7"/>
      <c r="R167" s="7"/>
      <c r="S167" s="7"/>
    </row>
    <row r="168" spans="1:19" ht="12.75">
      <c r="A168" t="s">
        <v>181</v>
      </c>
      <c r="B168" s="78"/>
      <c r="C168" s="74" t="s">
        <v>65</v>
      </c>
      <c r="E168" s="79">
        <v>4.9</v>
      </c>
      <c r="F168" s="79">
        <v>5.07</v>
      </c>
      <c r="G168" s="7">
        <f t="shared" si="48"/>
        <v>24.843000000000004</v>
      </c>
      <c r="H168" s="109" t="s">
        <v>134</v>
      </c>
      <c r="I168" s="31"/>
      <c r="J168" s="7">
        <f aca="true" t="shared" si="50" ref="J168:J191">LOOKUP(H168,H$210:H$225,J$210:J$225)</f>
        <v>22</v>
      </c>
      <c r="K168" s="7">
        <f>Q$168-J168</f>
        <v>-2</v>
      </c>
      <c r="M168" s="26">
        <f aca="true" t="shared" si="51" ref="M168:M191">LOOKUP(C168,C$210:C$228,M$210:M$228)</f>
        <v>1.9676248953391011</v>
      </c>
      <c r="O168" s="46">
        <f t="shared" si="49"/>
        <v>-97.76341054981859</v>
      </c>
      <c r="Q168" s="7">
        <f>Temperaturen!B12</f>
        <v>20</v>
      </c>
      <c r="R168" s="7"/>
      <c r="S168" s="7">
        <f>'Oppervlaktes &amp; Volumes'!I15</f>
        <v>113.25250000000001</v>
      </c>
    </row>
    <row r="169" spans="2:19" ht="12.75">
      <c r="B169" s="78"/>
      <c r="C169" s="74" t="s">
        <v>65</v>
      </c>
      <c r="E169" s="79">
        <v>1.6</v>
      </c>
      <c r="F169" s="79">
        <v>1.3</v>
      </c>
      <c r="G169" s="7">
        <f t="shared" si="48"/>
        <v>2.08</v>
      </c>
      <c r="H169" s="109" t="s">
        <v>134</v>
      </c>
      <c r="I169" s="31"/>
      <c r="J169" s="7">
        <f t="shared" si="50"/>
        <v>22</v>
      </c>
      <c r="K169" s="7">
        <f>Q$168-J169</f>
        <v>-2</v>
      </c>
      <c r="M169" s="26">
        <f t="shared" si="51"/>
        <v>1.9676248953391011</v>
      </c>
      <c r="O169" s="46">
        <f>M169*K169*G169</f>
        <v>-8.18531956461066</v>
      </c>
      <c r="Q169" s="7"/>
      <c r="R169" s="7"/>
      <c r="S169" s="7"/>
    </row>
    <row r="170" spans="1:19" ht="12.75">
      <c r="A170" t="s">
        <v>132</v>
      </c>
      <c r="B170" s="78"/>
      <c r="C170" s="74" t="s">
        <v>65</v>
      </c>
      <c r="E170" s="79">
        <v>4.9</v>
      </c>
      <c r="F170" s="79">
        <v>3.74</v>
      </c>
      <c r="G170" s="7">
        <f t="shared" si="48"/>
        <v>18.326000000000004</v>
      </c>
      <c r="H170" s="109" t="s">
        <v>3</v>
      </c>
      <c r="I170" s="31"/>
      <c r="J170" s="7">
        <f t="shared" si="50"/>
        <v>18</v>
      </c>
      <c r="K170" s="7">
        <f aca="true" t="shared" si="52" ref="K170:K191">Q$168-J170</f>
        <v>2</v>
      </c>
      <c r="M170" s="26">
        <f t="shared" si="51"/>
        <v>1.9676248953391011</v>
      </c>
      <c r="O170" s="46">
        <f t="shared" si="49"/>
        <v>72.11738766396876</v>
      </c>
      <c r="Q170" s="7"/>
      <c r="R170" s="7"/>
      <c r="S170" s="7"/>
    </row>
    <row r="171" spans="2:19" ht="12.75">
      <c r="B171" s="78"/>
      <c r="C171" s="74" t="s">
        <v>62</v>
      </c>
      <c r="E171" s="79">
        <v>4.9</v>
      </c>
      <c r="F171" s="79">
        <v>8.81</v>
      </c>
      <c r="G171" s="7">
        <f t="shared" si="48"/>
        <v>43.169000000000004</v>
      </c>
      <c r="H171" s="109" t="s">
        <v>12</v>
      </c>
      <c r="I171" s="31"/>
      <c r="J171" s="7">
        <f t="shared" si="50"/>
        <v>17</v>
      </c>
      <c r="K171" s="7">
        <f t="shared" si="52"/>
        <v>3</v>
      </c>
      <c r="M171" s="26">
        <f t="shared" si="51"/>
        <v>4.32183908045977</v>
      </c>
      <c r="O171" s="46">
        <f t="shared" si="49"/>
        <v>559.7084137931034</v>
      </c>
      <c r="Q171" s="7"/>
      <c r="R171" s="7"/>
      <c r="S171" s="7"/>
    </row>
    <row r="172" spans="2:19" ht="12.75">
      <c r="B172" s="78" t="s">
        <v>128</v>
      </c>
      <c r="C172" s="74" t="s">
        <v>68</v>
      </c>
      <c r="E172" s="79">
        <v>1.3</v>
      </c>
      <c r="F172" s="79">
        <v>2.5</v>
      </c>
      <c r="G172" s="7">
        <f t="shared" si="48"/>
        <v>3.25</v>
      </c>
      <c r="H172" s="109" t="s">
        <v>18</v>
      </c>
      <c r="I172" s="31"/>
      <c r="J172" s="7">
        <f t="shared" si="50"/>
        <v>-10</v>
      </c>
      <c r="K172" s="7">
        <f t="shared" si="52"/>
        <v>30</v>
      </c>
      <c r="M172" s="26">
        <f t="shared" si="51"/>
        <v>0.3363789944858009</v>
      </c>
      <c r="O172" s="46">
        <f t="shared" si="49"/>
        <v>32.79695196236558</v>
      </c>
      <c r="Q172" s="7"/>
      <c r="R172" s="7"/>
      <c r="S172" s="7"/>
    </row>
    <row r="173" spans="2:19" ht="12.75">
      <c r="B173" s="78"/>
      <c r="C173" s="74" t="s">
        <v>69</v>
      </c>
      <c r="E173" s="79">
        <v>2.4</v>
      </c>
      <c r="F173" s="79">
        <v>2.5</v>
      </c>
      <c r="G173" s="7">
        <f t="shared" si="48"/>
        <v>6</v>
      </c>
      <c r="H173" s="109" t="s">
        <v>18</v>
      </c>
      <c r="I173" s="31"/>
      <c r="J173" s="7">
        <f t="shared" si="50"/>
        <v>-10</v>
      </c>
      <c r="K173" s="7">
        <f>Q$168-J173</f>
        <v>30</v>
      </c>
      <c r="M173" s="26">
        <f t="shared" si="51"/>
        <v>0.1496900533137169</v>
      </c>
      <c r="O173" s="46">
        <f>M173*K173*G173</f>
        <v>26.94420959646904</v>
      </c>
      <c r="Q173" s="7"/>
      <c r="R173" s="7"/>
      <c r="S173" s="7"/>
    </row>
    <row r="174" spans="2:19" ht="12.75">
      <c r="B174" s="78"/>
      <c r="C174" s="74" t="s">
        <v>73</v>
      </c>
      <c r="E174" s="79">
        <v>1.2</v>
      </c>
      <c r="F174" s="79">
        <v>2.5</v>
      </c>
      <c r="G174" s="7">
        <f t="shared" si="48"/>
        <v>3</v>
      </c>
      <c r="H174" s="109" t="s">
        <v>18</v>
      </c>
      <c r="I174" s="31"/>
      <c r="J174" s="7">
        <f t="shared" si="50"/>
        <v>-10</v>
      </c>
      <c r="K174" s="7">
        <f t="shared" si="52"/>
        <v>30</v>
      </c>
      <c r="M174" s="26">
        <f t="shared" si="51"/>
        <v>1.7349999999999999</v>
      </c>
      <c r="O174" s="46">
        <f t="shared" si="49"/>
        <v>156.14999999999998</v>
      </c>
      <c r="Q174" s="7"/>
      <c r="R174" s="7"/>
      <c r="S174" s="7"/>
    </row>
    <row r="175" spans="2:19" ht="12.75">
      <c r="B175" s="78" t="s">
        <v>129</v>
      </c>
      <c r="C175" s="74" t="s">
        <v>70</v>
      </c>
      <c r="E175" s="79">
        <v>1.75</v>
      </c>
      <c r="F175" s="79">
        <v>2.5</v>
      </c>
      <c r="G175" s="7">
        <f t="shared" si="48"/>
        <v>4.375</v>
      </c>
      <c r="H175" s="109" t="s">
        <v>7</v>
      </c>
      <c r="I175" s="31"/>
      <c r="J175" s="7">
        <f t="shared" si="50"/>
        <v>18</v>
      </c>
      <c r="K175" s="7">
        <f t="shared" si="52"/>
        <v>2</v>
      </c>
      <c r="M175" s="26">
        <f t="shared" si="51"/>
        <v>1.2875536480686693</v>
      </c>
      <c r="O175" s="46">
        <f t="shared" si="49"/>
        <v>11.266094420600856</v>
      </c>
      <c r="Q175" s="7"/>
      <c r="R175" s="7"/>
      <c r="S175" s="7"/>
    </row>
    <row r="176" spans="2:19" ht="12.75">
      <c r="B176" s="78"/>
      <c r="C176" s="74" t="s">
        <v>70</v>
      </c>
      <c r="E176" s="79">
        <v>-0.9</v>
      </c>
      <c r="F176" s="79">
        <v>2</v>
      </c>
      <c r="G176" s="7">
        <f t="shared" si="48"/>
        <v>-1.8</v>
      </c>
      <c r="H176" s="109" t="s">
        <v>7</v>
      </c>
      <c r="I176" s="31"/>
      <c r="J176" s="7">
        <f t="shared" si="50"/>
        <v>18</v>
      </c>
      <c r="K176" s="7">
        <f t="shared" si="52"/>
        <v>2</v>
      </c>
      <c r="M176" s="26">
        <f t="shared" si="51"/>
        <v>1.2875536480686693</v>
      </c>
      <c r="O176" s="46">
        <f t="shared" si="49"/>
        <v>-4.63519313304721</v>
      </c>
      <c r="Q176" s="7"/>
      <c r="R176" s="7"/>
      <c r="S176" s="7"/>
    </row>
    <row r="177" spans="2:19" ht="12.75">
      <c r="B177" s="78"/>
      <c r="C177" s="74" t="s">
        <v>75</v>
      </c>
      <c r="E177" s="79">
        <v>0.9</v>
      </c>
      <c r="F177" s="79">
        <v>2</v>
      </c>
      <c r="G177" s="7">
        <f t="shared" si="48"/>
        <v>1.8</v>
      </c>
      <c r="H177" s="109" t="s">
        <v>7</v>
      </c>
      <c r="I177" s="31"/>
      <c r="J177" s="7">
        <f t="shared" si="50"/>
        <v>18</v>
      </c>
      <c r="K177" s="7">
        <f t="shared" si="52"/>
        <v>2</v>
      </c>
      <c r="M177" s="26">
        <f t="shared" si="51"/>
        <v>1.2413793103448276</v>
      </c>
      <c r="O177" s="46">
        <f t="shared" si="49"/>
        <v>4.468965517241379</v>
      </c>
      <c r="Q177" s="7"/>
      <c r="R177" s="7"/>
      <c r="S177" s="7"/>
    </row>
    <row r="178" spans="2:19" ht="12.75">
      <c r="B178" s="78"/>
      <c r="C178" s="74" t="s">
        <v>70</v>
      </c>
      <c r="E178" s="79">
        <v>1.76</v>
      </c>
      <c r="F178" s="79">
        <v>2.5</v>
      </c>
      <c r="G178" s="7">
        <f t="shared" si="48"/>
        <v>4.4</v>
      </c>
      <c r="H178" s="109" t="s">
        <v>6</v>
      </c>
      <c r="I178" s="31"/>
      <c r="J178" s="7">
        <f t="shared" si="50"/>
        <v>23</v>
      </c>
      <c r="K178" s="7">
        <f t="shared" si="52"/>
        <v>-3</v>
      </c>
      <c r="M178" s="26">
        <f t="shared" si="51"/>
        <v>1.2875536480686693</v>
      </c>
      <c r="O178" s="46">
        <f t="shared" si="49"/>
        <v>-16.99570815450644</v>
      </c>
      <c r="Q178" s="7"/>
      <c r="R178" s="7"/>
      <c r="S178" s="7"/>
    </row>
    <row r="179" spans="2:19" ht="12.75">
      <c r="B179" s="78"/>
      <c r="C179" s="74" t="s">
        <v>70</v>
      </c>
      <c r="E179" s="79">
        <v>5.07</v>
      </c>
      <c r="F179" s="79">
        <v>2.5</v>
      </c>
      <c r="G179" s="7">
        <f t="shared" si="48"/>
        <v>12.675</v>
      </c>
      <c r="H179" s="109" t="s">
        <v>5</v>
      </c>
      <c r="I179" s="31"/>
      <c r="J179" s="7">
        <f t="shared" si="50"/>
        <v>20</v>
      </c>
      <c r="K179" s="7">
        <f t="shared" si="52"/>
        <v>0</v>
      </c>
      <c r="M179" s="26">
        <f t="shared" si="51"/>
        <v>1.2875536480686693</v>
      </c>
      <c r="O179" s="46">
        <f t="shared" si="49"/>
        <v>0</v>
      </c>
      <c r="Q179" s="7"/>
      <c r="R179" s="7"/>
      <c r="S179" s="7"/>
    </row>
    <row r="180" spans="2:19" ht="12.75">
      <c r="B180" s="78"/>
      <c r="C180" s="74" t="s">
        <v>70</v>
      </c>
      <c r="E180" s="79">
        <v>-0.9</v>
      </c>
      <c r="F180" s="79">
        <v>2</v>
      </c>
      <c r="G180" s="7">
        <f t="shared" si="48"/>
        <v>-1.8</v>
      </c>
      <c r="H180" s="109" t="s">
        <v>5</v>
      </c>
      <c r="I180" s="31"/>
      <c r="J180" s="7">
        <f t="shared" si="50"/>
        <v>20</v>
      </c>
      <c r="K180" s="7">
        <f t="shared" si="52"/>
        <v>0</v>
      </c>
      <c r="M180" s="26">
        <f t="shared" si="51"/>
        <v>1.2875536480686693</v>
      </c>
      <c r="O180" s="46">
        <f t="shared" si="49"/>
        <v>0</v>
      </c>
      <c r="Q180" s="7"/>
      <c r="R180" s="7"/>
      <c r="S180" s="7"/>
    </row>
    <row r="181" spans="2:19" ht="12.75">
      <c r="B181" s="78"/>
      <c r="C181" s="74" t="s">
        <v>75</v>
      </c>
      <c r="E181" s="79">
        <v>0.9</v>
      </c>
      <c r="F181" s="79">
        <v>2</v>
      </c>
      <c r="G181" s="7">
        <f t="shared" si="48"/>
        <v>1.8</v>
      </c>
      <c r="H181" s="109" t="s">
        <v>5</v>
      </c>
      <c r="I181" s="31"/>
      <c r="J181" s="7">
        <f t="shared" si="50"/>
        <v>20</v>
      </c>
      <c r="K181" s="7">
        <f t="shared" si="52"/>
        <v>0</v>
      </c>
      <c r="M181" s="26">
        <f t="shared" si="51"/>
        <v>1.2413793103448276</v>
      </c>
      <c r="O181" s="46">
        <f t="shared" si="49"/>
        <v>0</v>
      </c>
      <c r="Q181" s="7"/>
      <c r="R181" s="7"/>
      <c r="S181" s="7"/>
    </row>
    <row r="182" spans="2:19" ht="12.75">
      <c r="B182" s="78" t="s">
        <v>130</v>
      </c>
      <c r="C182" s="74" t="s">
        <v>73</v>
      </c>
      <c r="E182" s="79">
        <v>4.9</v>
      </c>
      <c r="F182" s="79">
        <v>2.5</v>
      </c>
      <c r="G182" s="7">
        <f t="shared" si="48"/>
        <v>12.25</v>
      </c>
      <c r="H182" s="109" t="s">
        <v>18</v>
      </c>
      <c r="I182" s="31"/>
      <c r="J182" s="7">
        <f t="shared" si="50"/>
        <v>-10</v>
      </c>
      <c r="K182" s="7">
        <f t="shared" si="52"/>
        <v>30</v>
      </c>
      <c r="M182" s="26">
        <f t="shared" si="51"/>
        <v>1.7349999999999999</v>
      </c>
      <c r="O182" s="46">
        <f t="shared" si="49"/>
        <v>637.6125</v>
      </c>
      <c r="Q182" s="7"/>
      <c r="R182" s="7"/>
      <c r="S182" s="7"/>
    </row>
    <row r="183" spans="2:19" ht="12.75">
      <c r="B183" s="78" t="s">
        <v>131</v>
      </c>
      <c r="C183" s="74" t="s">
        <v>70</v>
      </c>
      <c r="E183" s="79">
        <v>3.7</v>
      </c>
      <c r="F183" s="79">
        <v>2.5</v>
      </c>
      <c r="G183" s="7">
        <f t="shared" si="48"/>
        <v>9.25</v>
      </c>
      <c r="H183" s="109" t="s">
        <v>9</v>
      </c>
      <c r="I183" s="31"/>
      <c r="J183" s="7">
        <f t="shared" si="50"/>
        <v>20</v>
      </c>
      <c r="K183" s="7">
        <f t="shared" si="52"/>
        <v>0</v>
      </c>
      <c r="M183" s="26">
        <f t="shared" si="51"/>
        <v>1.2875536480686693</v>
      </c>
      <c r="O183" s="46">
        <f t="shared" si="49"/>
        <v>0</v>
      </c>
      <c r="Q183" s="7"/>
      <c r="R183" s="7"/>
      <c r="S183" s="7"/>
    </row>
    <row r="184" spans="2:19" ht="12.75">
      <c r="B184" s="78"/>
      <c r="C184" s="74" t="s">
        <v>71</v>
      </c>
      <c r="E184" s="79">
        <v>1.6</v>
      </c>
      <c r="F184" s="79">
        <v>2.5</v>
      </c>
      <c r="G184" s="7">
        <f t="shared" si="48"/>
        <v>4</v>
      </c>
      <c r="H184" s="109" t="s">
        <v>9</v>
      </c>
      <c r="I184" s="31"/>
      <c r="J184" s="7">
        <f t="shared" si="50"/>
        <v>20</v>
      </c>
      <c r="K184" s="7">
        <f t="shared" si="52"/>
        <v>0</v>
      </c>
      <c r="M184" s="26">
        <f t="shared" si="51"/>
        <v>1.6393442622950818</v>
      </c>
      <c r="O184" s="46">
        <f t="shared" si="49"/>
        <v>0</v>
      </c>
      <c r="Q184" s="7"/>
      <c r="R184" s="7"/>
      <c r="S184" s="7"/>
    </row>
    <row r="185" spans="2:19" ht="12.75">
      <c r="B185" s="78"/>
      <c r="C185" s="74" t="s">
        <v>71</v>
      </c>
      <c r="E185" s="79">
        <v>-0.9</v>
      </c>
      <c r="F185" s="79">
        <v>2</v>
      </c>
      <c r="G185" s="7">
        <f t="shared" si="48"/>
        <v>-1.8</v>
      </c>
      <c r="H185" s="109" t="s">
        <v>9</v>
      </c>
      <c r="I185" s="31"/>
      <c r="J185" s="7">
        <f t="shared" si="50"/>
        <v>20</v>
      </c>
      <c r="K185" s="7">
        <f t="shared" si="52"/>
        <v>0</v>
      </c>
      <c r="M185" s="26">
        <f t="shared" si="51"/>
        <v>1.6393442622950818</v>
      </c>
      <c r="O185" s="46">
        <f t="shared" si="49"/>
        <v>0</v>
      </c>
      <c r="Q185" s="7"/>
      <c r="R185" s="7"/>
      <c r="S185" s="7"/>
    </row>
    <row r="186" spans="2:19" ht="12.75">
      <c r="B186" s="78"/>
      <c r="C186" s="74" t="s">
        <v>75</v>
      </c>
      <c r="E186" s="79">
        <v>0.9</v>
      </c>
      <c r="F186" s="79">
        <v>2</v>
      </c>
      <c r="G186" s="7">
        <f t="shared" si="48"/>
        <v>1.8</v>
      </c>
      <c r="H186" s="109" t="s">
        <v>9</v>
      </c>
      <c r="I186" s="31"/>
      <c r="J186" s="7">
        <f t="shared" si="50"/>
        <v>20</v>
      </c>
      <c r="K186" s="7">
        <f t="shared" si="52"/>
        <v>0</v>
      </c>
      <c r="M186" s="26">
        <f t="shared" si="51"/>
        <v>1.2413793103448276</v>
      </c>
      <c r="O186" s="46">
        <f t="shared" si="49"/>
        <v>0</v>
      </c>
      <c r="Q186" s="7"/>
      <c r="R186" s="7"/>
      <c r="S186" s="7"/>
    </row>
    <row r="187" spans="2:19" ht="12.75">
      <c r="B187" s="78"/>
      <c r="C187" s="74" t="s">
        <v>71</v>
      </c>
      <c r="E187" s="79">
        <v>1.3</v>
      </c>
      <c r="F187" s="79">
        <v>2.5</v>
      </c>
      <c r="G187" s="7">
        <f t="shared" si="48"/>
        <v>3.25</v>
      </c>
      <c r="H187" s="109" t="s">
        <v>10</v>
      </c>
      <c r="I187" s="31"/>
      <c r="J187" s="7">
        <f t="shared" si="50"/>
        <v>23</v>
      </c>
      <c r="K187" s="7">
        <f t="shared" si="52"/>
        <v>-3</v>
      </c>
      <c r="M187" s="26">
        <f t="shared" si="51"/>
        <v>1.6393442622950818</v>
      </c>
      <c r="O187" s="46">
        <f t="shared" si="49"/>
        <v>-15.983606557377048</v>
      </c>
      <c r="Q187" s="7"/>
      <c r="R187" s="7"/>
      <c r="S187" s="7"/>
    </row>
    <row r="188" spans="2:19" ht="12.75">
      <c r="B188" s="78"/>
      <c r="C188" s="74" t="s">
        <v>70</v>
      </c>
      <c r="E188" s="79">
        <v>1.6</v>
      </c>
      <c r="F188" s="79">
        <v>2.5</v>
      </c>
      <c r="G188" s="7">
        <f t="shared" si="48"/>
        <v>4</v>
      </c>
      <c r="H188" s="109" t="s">
        <v>11</v>
      </c>
      <c r="I188" s="31"/>
      <c r="J188" s="7">
        <f t="shared" si="50"/>
        <v>20</v>
      </c>
      <c r="K188" s="7">
        <f t="shared" si="52"/>
        <v>0</v>
      </c>
      <c r="M188" s="26">
        <f t="shared" si="51"/>
        <v>1.2875536480686693</v>
      </c>
      <c r="O188" s="46">
        <f t="shared" si="49"/>
        <v>0</v>
      </c>
      <c r="Q188" s="7"/>
      <c r="R188" s="7"/>
      <c r="S188" s="7"/>
    </row>
    <row r="189" spans="2:19" ht="12.75">
      <c r="B189" s="78"/>
      <c r="C189" s="74" t="s">
        <v>70</v>
      </c>
      <c r="E189" s="79">
        <v>-0.9</v>
      </c>
      <c r="F189" s="79">
        <v>2</v>
      </c>
      <c r="G189" s="7">
        <f t="shared" si="48"/>
        <v>-1.8</v>
      </c>
      <c r="H189" s="109" t="s">
        <v>11</v>
      </c>
      <c r="I189" s="31"/>
      <c r="J189" s="7">
        <f t="shared" si="50"/>
        <v>20</v>
      </c>
      <c r="K189" s="7">
        <f t="shared" si="52"/>
        <v>0</v>
      </c>
      <c r="M189" s="26">
        <f t="shared" si="51"/>
        <v>1.2875536480686693</v>
      </c>
      <c r="O189" s="46">
        <f t="shared" si="49"/>
        <v>0</v>
      </c>
      <c r="Q189" s="7"/>
      <c r="R189" s="7"/>
      <c r="S189" s="7"/>
    </row>
    <row r="190" spans="2:19" ht="12.75">
      <c r="B190" s="78"/>
      <c r="C190" s="74" t="s">
        <v>75</v>
      </c>
      <c r="E190" s="79">
        <v>0.9</v>
      </c>
      <c r="F190" s="79">
        <v>2</v>
      </c>
      <c r="G190" s="7">
        <f t="shared" si="48"/>
        <v>1.8</v>
      </c>
      <c r="H190" s="109" t="s">
        <v>11</v>
      </c>
      <c r="I190" s="31"/>
      <c r="J190" s="7">
        <f t="shared" si="50"/>
        <v>20</v>
      </c>
      <c r="K190" s="7">
        <f t="shared" si="52"/>
        <v>0</v>
      </c>
      <c r="M190" s="26">
        <f t="shared" si="51"/>
        <v>1.2413793103448276</v>
      </c>
      <c r="O190" s="46">
        <f t="shared" si="49"/>
        <v>0</v>
      </c>
      <c r="Q190" s="7"/>
      <c r="R190" s="7"/>
      <c r="S190" s="7"/>
    </row>
    <row r="191" spans="2:19" ht="12.75">
      <c r="B191" s="78"/>
      <c r="C191" s="74" t="s">
        <v>70</v>
      </c>
      <c r="E191" s="79">
        <v>3.74</v>
      </c>
      <c r="F191" s="79">
        <v>2.5</v>
      </c>
      <c r="G191" s="7">
        <f t="shared" si="48"/>
        <v>9.350000000000001</v>
      </c>
      <c r="H191" s="109" t="s">
        <v>11</v>
      </c>
      <c r="I191" s="31"/>
      <c r="J191" s="7">
        <f t="shared" si="50"/>
        <v>20</v>
      </c>
      <c r="K191" s="7">
        <f t="shared" si="52"/>
        <v>0</v>
      </c>
      <c r="M191" s="26">
        <f t="shared" si="51"/>
        <v>1.2875536480686693</v>
      </c>
      <c r="O191" s="46">
        <f t="shared" si="49"/>
        <v>0</v>
      </c>
      <c r="Q191" s="7"/>
      <c r="R191" s="7"/>
      <c r="S191" s="7"/>
    </row>
    <row r="192" spans="2:19" ht="12.75">
      <c r="B192" s="78"/>
      <c r="C192" s="74"/>
      <c r="E192" s="79"/>
      <c r="F192" s="79"/>
      <c r="G192" s="7"/>
      <c r="H192" s="109"/>
      <c r="I192" s="31"/>
      <c r="J192" s="48"/>
      <c r="K192" s="48"/>
      <c r="L192" s="49"/>
      <c r="M192" s="50" t="s">
        <v>182</v>
      </c>
      <c r="N192" s="51" t="s">
        <v>158</v>
      </c>
      <c r="O192" s="47">
        <f>SUM(O168:O191)</f>
        <v>1357.501284994389</v>
      </c>
      <c r="Q192" s="7"/>
      <c r="R192" s="7"/>
      <c r="S192" s="7"/>
    </row>
    <row r="193" spans="1:19" ht="12.75">
      <c r="A193" t="s">
        <v>12</v>
      </c>
      <c r="B193" s="78"/>
      <c r="C193" s="74" t="s">
        <v>62</v>
      </c>
      <c r="E193" s="79">
        <v>4.85</v>
      </c>
      <c r="F193" s="79">
        <v>5.62</v>
      </c>
      <c r="G193" s="7">
        <f t="shared" si="48"/>
        <v>27.256999999999998</v>
      </c>
      <c r="H193" s="109" t="s">
        <v>5</v>
      </c>
      <c r="I193" s="31"/>
      <c r="J193" s="7">
        <f aca="true" t="shared" si="53" ref="J193:J204">LOOKUP(H193,H$210:H$225,J$210:J$225)</f>
        <v>20</v>
      </c>
      <c r="K193" s="7">
        <f>Q$193-J193</f>
        <v>-3</v>
      </c>
      <c r="M193" s="26">
        <f aca="true" t="shared" si="54" ref="M193:M204">LOOKUP(C193,C$210:C$228,M$210:M$228)</f>
        <v>4.32183908045977</v>
      </c>
      <c r="O193" s="46">
        <f t="shared" si="49"/>
        <v>-353.4011034482758</v>
      </c>
      <c r="Q193" s="7">
        <f>Temperaturen!B19</f>
        <v>17</v>
      </c>
      <c r="R193" s="7"/>
      <c r="S193" s="7">
        <f>'Oppervlaktes &amp; Volumes'!I20</f>
        <v>209.898</v>
      </c>
    </row>
    <row r="194" spans="2:19" ht="12.75">
      <c r="B194" s="78"/>
      <c r="C194" s="74" t="s">
        <v>62</v>
      </c>
      <c r="E194" s="79">
        <v>4.89</v>
      </c>
      <c r="F194" s="79">
        <v>4.42</v>
      </c>
      <c r="G194" s="7">
        <f t="shared" si="48"/>
        <v>21.613799999999998</v>
      </c>
      <c r="H194" s="109" t="s">
        <v>9</v>
      </c>
      <c r="I194" s="31"/>
      <c r="J194" s="7">
        <f t="shared" si="53"/>
        <v>20</v>
      </c>
      <c r="K194" s="7">
        <f aca="true" t="shared" si="55" ref="K194:K204">Q$193-J194</f>
        <v>-3</v>
      </c>
      <c r="M194" s="26">
        <f t="shared" si="54"/>
        <v>4.32183908045977</v>
      </c>
      <c r="O194" s="46">
        <f t="shared" si="49"/>
        <v>-280.23409655172406</v>
      </c>
      <c r="Q194" s="7"/>
      <c r="R194" s="7"/>
      <c r="S194" s="7"/>
    </row>
    <row r="195" spans="2:19" ht="12.75">
      <c r="B195" s="78"/>
      <c r="C195" s="74" t="s">
        <v>62</v>
      </c>
      <c r="E195" s="79">
        <v>4.89</v>
      </c>
      <c r="F195" s="79">
        <v>3.6</v>
      </c>
      <c r="G195" s="7">
        <f t="shared" si="48"/>
        <v>17.604</v>
      </c>
      <c r="H195" s="109" t="s">
        <v>11</v>
      </c>
      <c r="I195" s="31"/>
      <c r="J195" s="7">
        <f t="shared" si="53"/>
        <v>20</v>
      </c>
      <c r="K195" s="7">
        <f t="shared" si="55"/>
        <v>-3</v>
      </c>
      <c r="M195" s="26">
        <f t="shared" si="54"/>
        <v>4.32183908045977</v>
      </c>
      <c r="O195" s="46">
        <f t="shared" si="49"/>
        <v>-228.24496551724135</v>
      </c>
      <c r="Q195" s="7"/>
      <c r="R195" s="7"/>
      <c r="S195" s="7"/>
    </row>
    <row r="196" spans="2:19" ht="12.75">
      <c r="B196" s="78"/>
      <c r="C196" s="74" t="s">
        <v>62</v>
      </c>
      <c r="E196" s="79">
        <v>3.6</v>
      </c>
      <c r="F196" s="79">
        <v>3.6</v>
      </c>
      <c r="G196" s="7">
        <f t="shared" si="48"/>
        <v>12.96</v>
      </c>
      <c r="H196" s="109" t="s">
        <v>6</v>
      </c>
      <c r="I196" s="31"/>
      <c r="J196" s="7">
        <f t="shared" si="53"/>
        <v>23</v>
      </c>
      <c r="K196" s="7">
        <f t="shared" si="55"/>
        <v>-6</v>
      </c>
      <c r="M196" s="26">
        <f t="shared" si="54"/>
        <v>4.32183908045977</v>
      </c>
      <c r="O196" s="46">
        <f t="shared" si="49"/>
        <v>-336.0662068965517</v>
      </c>
      <c r="Q196" s="7"/>
      <c r="R196" s="7"/>
      <c r="S196" s="7"/>
    </row>
    <row r="197" spans="2:19" ht="12.75">
      <c r="B197" s="78"/>
      <c r="C197" s="74" t="s">
        <v>62</v>
      </c>
      <c r="E197" s="79">
        <v>1.22</v>
      </c>
      <c r="F197" s="79">
        <v>1.76</v>
      </c>
      <c r="G197" s="7">
        <f>E197*F197</f>
        <v>2.1471999999999998</v>
      </c>
      <c r="H197" s="109" t="s">
        <v>6</v>
      </c>
      <c r="I197" s="31"/>
      <c r="J197" s="7">
        <f t="shared" si="53"/>
        <v>23</v>
      </c>
      <c r="K197" s="7">
        <f>Q$193-J197</f>
        <v>-6</v>
      </c>
      <c r="M197" s="26">
        <f t="shared" si="54"/>
        <v>4.32183908045977</v>
      </c>
      <c r="O197" s="46">
        <f>M197*K197*G197</f>
        <v>-55.6791172413793</v>
      </c>
      <c r="Q197" s="7"/>
      <c r="R197" s="7"/>
      <c r="S197" s="7"/>
    </row>
    <row r="198" spans="2:19" ht="12.75">
      <c r="B198" s="78"/>
      <c r="C198" s="74" t="s">
        <v>62</v>
      </c>
      <c r="E198" s="79">
        <v>0.9</v>
      </c>
      <c r="F198" s="79">
        <v>1.75</v>
      </c>
      <c r="G198" s="7">
        <f t="shared" si="48"/>
        <v>1.575</v>
      </c>
      <c r="H198" s="109" t="s">
        <v>7</v>
      </c>
      <c r="I198" s="31"/>
      <c r="J198" s="7">
        <f t="shared" si="53"/>
        <v>18</v>
      </c>
      <c r="K198" s="7">
        <f t="shared" si="55"/>
        <v>-1</v>
      </c>
      <c r="M198" s="26">
        <f t="shared" si="54"/>
        <v>4.32183908045977</v>
      </c>
      <c r="O198" s="46">
        <f t="shared" si="49"/>
        <v>-6.8068965517241375</v>
      </c>
      <c r="Q198" s="7"/>
      <c r="R198" s="7"/>
      <c r="S198" s="7"/>
    </row>
    <row r="199" spans="2:19" ht="12.75">
      <c r="B199" s="78"/>
      <c r="C199" s="74" t="s">
        <v>62</v>
      </c>
      <c r="E199" s="79">
        <v>3.3</v>
      </c>
      <c r="F199" s="79">
        <v>1.3</v>
      </c>
      <c r="G199" s="7">
        <f t="shared" si="48"/>
        <v>4.29</v>
      </c>
      <c r="H199" s="109" t="s">
        <v>10</v>
      </c>
      <c r="I199" s="31"/>
      <c r="J199" s="7">
        <f t="shared" si="53"/>
        <v>23</v>
      </c>
      <c r="K199" s="7">
        <f t="shared" si="55"/>
        <v>-6</v>
      </c>
      <c r="M199" s="26">
        <f t="shared" si="54"/>
        <v>4.32183908045977</v>
      </c>
      <c r="O199" s="46">
        <f t="shared" si="49"/>
        <v>-111.24413793103447</v>
      </c>
      <c r="Q199" s="7"/>
      <c r="R199" s="7"/>
      <c r="S199" s="7"/>
    </row>
    <row r="200" spans="2:19" ht="12.75">
      <c r="B200" s="78"/>
      <c r="C200" s="74" t="s">
        <v>62</v>
      </c>
      <c r="E200" s="79">
        <v>4.9</v>
      </c>
      <c r="F200" s="79">
        <v>8.81</v>
      </c>
      <c r="G200" s="7">
        <f t="shared" si="48"/>
        <v>43.169000000000004</v>
      </c>
      <c r="H200" s="109" t="s">
        <v>8</v>
      </c>
      <c r="I200" s="31"/>
      <c r="J200" s="7">
        <f t="shared" si="53"/>
        <v>20</v>
      </c>
      <c r="K200" s="7">
        <f t="shared" si="55"/>
        <v>-3</v>
      </c>
      <c r="M200" s="26">
        <f t="shared" si="54"/>
        <v>4.32183908045977</v>
      </c>
      <c r="O200" s="46">
        <f t="shared" si="49"/>
        <v>-559.7084137931034</v>
      </c>
      <c r="Q200" s="7"/>
      <c r="R200" s="7"/>
      <c r="S200" s="7"/>
    </row>
    <row r="201" spans="2:19" ht="12.75">
      <c r="B201" s="78" t="s">
        <v>128</v>
      </c>
      <c r="C201" s="74" t="s">
        <v>77</v>
      </c>
      <c r="E201" s="79">
        <v>14.4</v>
      </c>
      <c r="F201" s="79">
        <v>6</v>
      </c>
      <c r="G201" s="7">
        <f t="shared" si="48"/>
        <v>86.4</v>
      </c>
      <c r="H201" s="109" t="s">
        <v>18</v>
      </c>
      <c r="I201" s="31"/>
      <c r="J201" s="7">
        <f t="shared" si="53"/>
        <v>-10</v>
      </c>
      <c r="K201" s="7">
        <f t="shared" si="55"/>
        <v>27</v>
      </c>
      <c r="M201" s="26">
        <f t="shared" si="54"/>
        <v>0.19047619047619047</v>
      </c>
      <c r="O201" s="46">
        <f t="shared" si="49"/>
        <v>444.34285714285716</v>
      </c>
      <c r="Q201" s="7"/>
      <c r="R201" s="7"/>
      <c r="S201" s="7"/>
    </row>
    <row r="202" spans="2:19" ht="12.75">
      <c r="B202" s="78" t="s">
        <v>129</v>
      </c>
      <c r="C202" s="74" t="s">
        <v>79</v>
      </c>
      <c r="E202" s="79">
        <v>8</v>
      </c>
      <c r="F202" s="79">
        <v>4</v>
      </c>
      <c r="G202" s="7">
        <f t="shared" si="48"/>
        <v>32</v>
      </c>
      <c r="H202" s="109" t="s">
        <v>18</v>
      </c>
      <c r="I202" s="31"/>
      <c r="J202" s="7">
        <f t="shared" si="53"/>
        <v>-10</v>
      </c>
      <c r="K202" s="7">
        <f t="shared" si="55"/>
        <v>27</v>
      </c>
      <c r="M202" s="26">
        <f t="shared" si="54"/>
        <v>0.19348054678796686</v>
      </c>
      <c r="O202" s="46">
        <f t="shared" si="49"/>
        <v>167.16719242480337</v>
      </c>
      <c r="Q202" s="7"/>
      <c r="R202" s="7"/>
      <c r="S202" s="7"/>
    </row>
    <row r="203" spans="2:19" ht="12.75">
      <c r="B203" s="78" t="s">
        <v>130</v>
      </c>
      <c r="C203" s="74" t="s">
        <v>78</v>
      </c>
      <c r="E203" s="79">
        <v>14.4</v>
      </c>
      <c r="F203" s="79">
        <v>6</v>
      </c>
      <c r="G203" s="7">
        <f t="shared" si="48"/>
        <v>86.4</v>
      </c>
      <c r="H203" s="109" t="s">
        <v>18</v>
      </c>
      <c r="I203" s="31"/>
      <c r="J203" s="7">
        <f t="shared" si="53"/>
        <v>-10</v>
      </c>
      <c r="K203" s="7">
        <f t="shared" si="55"/>
        <v>27</v>
      </c>
      <c r="M203" s="26">
        <f t="shared" si="54"/>
        <v>0.19047619047619047</v>
      </c>
      <c r="O203" s="46">
        <f t="shared" si="49"/>
        <v>444.34285714285716</v>
      </c>
      <c r="Q203" s="7"/>
      <c r="R203" s="7"/>
      <c r="S203" s="7"/>
    </row>
    <row r="204" spans="2:19" ht="12.75">
      <c r="B204" s="78" t="s">
        <v>131</v>
      </c>
      <c r="C204" s="74" t="s">
        <v>80</v>
      </c>
      <c r="E204" s="79">
        <v>8</v>
      </c>
      <c r="F204" s="79">
        <v>4</v>
      </c>
      <c r="G204" s="7">
        <f t="shared" si="48"/>
        <v>32</v>
      </c>
      <c r="H204" s="109" t="s">
        <v>18</v>
      </c>
      <c r="I204" s="31"/>
      <c r="J204" s="7">
        <f t="shared" si="53"/>
        <v>-10</v>
      </c>
      <c r="K204" s="7">
        <f t="shared" si="55"/>
        <v>27</v>
      </c>
      <c r="M204" s="26">
        <f t="shared" si="54"/>
        <v>0.19348054678796686</v>
      </c>
      <c r="O204" s="46">
        <f t="shared" si="49"/>
        <v>167.16719242480337</v>
      </c>
      <c r="Q204" s="7"/>
      <c r="R204" s="7"/>
      <c r="S204" s="7"/>
    </row>
    <row r="205" spans="7:19" ht="12.75">
      <c r="G205" s="7"/>
      <c r="H205" s="31"/>
      <c r="I205" s="31"/>
      <c r="J205" s="48"/>
      <c r="K205" s="48"/>
      <c r="L205" s="49"/>
      <c r="M205" s="50" t="s">
        <v>183</v>
      </c>
      <c r="N205" s="51" t="s">
        <v>158</v>
      </c>
      <c r="O205" s="47">
        <f>SUM(O193:O204)</f>
        <v>-708.3648387957129</v>
      </c>
      <c r="Q205" s="7"/>
      <c r="R205" s="7"/>
      <c r="S205" s="7"/>
    </row>
    <row r="206" spans="7:19" ht="12.75">
      <c r="G206" s="7"/>
      <c r="H206" s="31"/>
      <c r="I206" s="31"/>
      <c r="O206" s="46"/>
      <c r="Q206" s="7"/>
      <c r="R206" s="7"/>
      <c r="S206" s="7"/>
    </row>
    <row r="207" spans="1:19" ht="12.75">
      <c r="A207" t="s">
        <v>138</v>
      </c>
      <c r="G207" s="7">
        <f>E207*F207</f>
        <v>0</v>
      </c>
      <c r="H207" s="31"/>
      <c r="I207" s="31"/>
      <c r="J207" s="7" t="e">
        <f>LOOKUP(H207,H$210:H$225,J$210:J$225)</f>
        <v>#N/A</v>
      </c>
      <c r="K207" s="7" t="e">
        <f>Q$7-J207</f>
        <v>#N/A</v>
      </c>
      <c r="M207" s="26" t="e">
        <f>LOOKUP(C207,C$210:C$228,M$210:M$228)</f>
        <v>#N/A</v>
      </c>
      <c r="O207" s="46" t="e">
        <f>M207*K207*G207</f>
        <v>#N/A</v>
      </c>
      <c r="Q207" s="7"/>
      <c r="R207" s="7"/>
      <c r="S207" s="7"/>
    </row>
    <row r="208" spans="8:15" ht="12.75">
      <c r="H208" s="24"/>
      <c r="I208" s="24"/>
      <c r="O208" s="24"/>
    </row>
    <row r="209" spans="1:19" ht="12.75">
      <c r="A209" s="32" t="s">
        <v>136</v>
      </c>
      <c r="B209" s="35"/>
      <c r="C209" s="32"/>
      <c r="D209" s="32"/>
      <c r="E209" s="33"/>
      <c r="F209" s="33"/>
      <c r="G209" s="35"/>
      <c r="H209" s="34"/>
      <c r="I209" s="34"/>
      <c r="J209" s="33"/>
      <c r="K209" s="33"/>
      <c r="L209" s="35"/>
      <c r="M209" s="33"/>
      <c r="N209" s="32"/>
      <c r="O209" s="34"/>
      <c r="P209" s="32"/>
      <c r="Q209" s="35"/>
      <c r="R209" s="35"/>
      <c r="S209" s="35"/>
    </row>
    <row r="210" spans="3:15" ht="12.75">
      <c r="C210" t="s">
        <v>75</v>
      </c>
      <c r="H210" s="4" t="s">
        <v>6</v>
      </c>
      <c r="I210" s="4"/>
      <c r="J210" s="8">
        <f>Temperaturen!B4</f>
        <v>23</v>
      </c>
      <c r="M210" s="26">
        <f>Materialen!C23</f>
        <v>1.2413793103448276</v>
      </c>
      <c r="O210" s="24"/>
    </row>
    <row r="211" spans="3:15" ht="12.75">
      <c r="C211" t="s">
        <v>70</v>
      </c>
      <c r="H211" s="4" t="s">
        <v>0</v>
      </c>
      <c r="I211" s="4"/>
      <c r="J211" s="8">
        <f>Temperaturen!B5</f>
        <v>18</v>
      </c>
      <c r="M211" s="26">
        <f>Materialen!C18</f>
        <v>1.2875536480686693</v>
      </c>
      <c r="O211" s="24"/>
    </row>
    <row r="212" spans="3:15" ht="12.75">
      <c r="C212" t="s">
        <v>72</v>
      </c>
      <c r="H212" s="4" t="s">
        <v>18</v>
      </c>
      <c r="I212" s="4"/>
      <c r="J212" s="8">
        <f>Temperaturen!B6</f>
        <v>-10</v>
      </c>
      <c r="M212" s="26">
        <f>Materialen!C19</f>
        <v>1.339285714285714</v>
      </c>
      <c r="O212" s="24"/>
    </row>
    <row r="213" spans="3:15" ht="12.75">
      <c r="C213" t="s">
        <v>71</v>
      </c>
      <c r="H213" s="4" t="s">
        <v>10</v>
      </c>
      <c r="I213" s="4"/>
      <c r="J213" s="8">
        <f>Temperaturen!B7</f>
        <v>23</v>
      </c>
      <c r="M213" s="26">
        <f>Materialen!C20</f>
        <v>1.6393442622950818</v>
      </c>
      <c r="O213" s="24"/>
    </row>
    <row r="214" spans="3:15" ht="12.75">
      <c r="C214" t="s">
        <v>74</v>
      </c>
      <c r="H214" s="4" t="s">
        <v>4</v>
      </c>
      <c r="I214" s="4"/>
      <c r="J214" s="8">
        <f>Temperaturen!B8</f>
        <v>12.5</v>
      </c>
      <c r="M214" s="26">
        <f>Materialen!C22</f>
        <v>1.3425573519948522</v>
      </c>
      <c r="O214" s="24"/>
    </row>
    <row r="215" spans="3:15" ht="12.75">
      <c r="C215" t="s">
        <v>69</v>
      </c>
      <c r="H215" s="4" t="s">
        <v>17</v>
      </c>
      <c r="I215" s="4"/>
      <c r="J215" s="8">
        <f>Temperaturen!B9</f>
        <v>5</v>
      </c>
      <c r="M215" s="26">
        <f>Materialen!C17</f>
        <v>0.1496900533137169</v>
      </c>
      <c r="O215" s="24"/>
    </row>
    <row r="216" spans="3:15" ht="12.75">
      <c r="C216" t="s">
        <v>68</v>
      </c>
      <c r="H216" s="4" t="s">
        <v>3</v>
      </c>
      <c r="I216" s="4"/>
      <c r="J216" s="8">
        <f>Temperaturen!B10</f>
        <v>18</v>
      </c>
      <c r="M216" s="26">
        <f>Materialen!C16</f>
        <v>0.3363789944858009</v>
      </c>
      <c r="O216" s="24"/>
    </row>
    <row r="217" spans="3:15" ht="12.75">
      <c r="C217" t="s">
        <v>76</v>
      </c>
      <c r="H217" s="4" t="s">
        <v>134</v>
      </c>
      <c r="I217" s="4"/>
      <c r="J217" s="8">
        <f>Temperaturen!B11</f>
        <v>22</v>
      </c>
      <c r="M217" s="26">
        <f>Materialen!C24</f>
        <v>0.5080066261397235</v>
      </c>
      <c r="O217" s="24"/>
    </row>
    <row r="218" spans="3:15" ht="12.75">
      <c r="C218" t="s">
        <v>65</v>
      </c>
      <c r="H218" s="4" t="s">
        <v>8</v>
      </c>
      <c r="I218" s="4"/>
      <c r="J218" s="8">
        <f>Temperaturen!B12</f>
        <v>20</v>
      </c>
      <c r="M218" s="26">
        <f>Materialen!C12</f>
        <v>1.9676248953391011</v>
      </c>
      <c r="O218" s="24"/>
    </row>
    <row r="219" spans="3:15" ht="12.75">
      <c r="C219" t="s">
        <v>67</v>
      </c>
      <c r="H219" s="4" t="s">
        <v>5</v>
      </c>
      <c r="I219" s="4"/>
      <c r="J219" s="8">
        <f>Temperaturen!B13</f>
        <v>20</v>
      </c>
      <c r="M219" s="26">
        <f>Materialen!C14</f>
        <v>0.29026952638782855</v>
      </c>
      <c r="O219" s="24"/>
    </row>
    <row r="220" spans="3:15" ht="12.75">
      <c r="C220" t="s">
        <v>66</v>
      </c>
      <c r="H220" s="4" t="s">
        <v>9</v>
      </c>
      <c r="I220" s="4"/>
      <c r="J220" s="8">
        <f>Temperaturen!B14</f>
        <v>20</v>
      </c>
      <c r="M220" s="26">
        <f>Materialen!C13</f>
        <v>2.0910573928518463</v>
      </c>
      <c r="O220" s="24"/>
    </row>
    <row r="221" spans="3:15" ht="12.75">
      <c r="C221" t="s">
        <v>64</v>
      </c>
      <c r="H221" s="4" t="s">
        <v>11</v>
      </c>
      <c r="I221" s="4"/>
      <c r="J221" s="8">
        <f>Temperaturen!B15</f>
        <v>20</v>
      </c>
      <c r="M221" s="26">
        <f>Materialen!C11</f>
        <v>1.002693674234962</v>
      </c>
      <c r="O221" s="24"/>
    </row>
    <row r="222" spans="3:15" ht="12.75">
      <c r="C222" t="s">
        <v>63</v>
      </c>
      <c r="H222" s="4" t="s">
        <v>1</v>
      </c>
      <c r="I222" s="4"/>
      <c r="J222" s="8">
        <f>Temperaturen!B16</f>
        <v>18</v>
      </c>
      <c r="M222" s="26">
        <f>Materialen!C10</f>
        <v>0.1828746335799458</v>
      </c>
      <c r="O222" s="24"/>
    </row>
    <row r="223" spans="3:15" ht="12.75">
      <c r="C223" t="s">
        <v>79</v>
      </c>
      <c r="H223" s="4" t="s">
        <v>2</v>
      </c>
      <c r="I223" s="4"/>
      <c r="J223" s="8">
        <f>Temperaturen!B17</f>
        <v>18</v>
      </c>
      <c r="M223" s="26">
        <f>Materialen!C27</f>
        <v>0.19348054678796686</v>
      </c>
      <c r="O223" s="24"/>
    </row>
    <row r="224" spans="3:15" ht="12.75">
      <c r="C224" t="s">
        <v>80</v>
      </c>
      <c r="H224" s="4" t="s">
        <v>7</v>
      </c>
      <c r="I224" s="4"/>
      <c r="J224" s="8">
        <f>Temperaturen!B18</f>
        <v>18</v>
      </c>
      <c r="M224" s="26">
        <f>Materialen!C28</f>
        <v>0.19348054678796686</v>
      </c>
      <c r="O224" s="24"/>
    </row>
    <row r="225" spans="3:15" ht="12.75">
      <c r="C225" t="s">
        <v>73</v>
      </c>
      <c r="H225" s="4" t="s">
        <v>12</v>
      </c>
      <c r="I225" s="4"/>
      <c r="J225" s="8">
        <f>Temperaturen!B19</f>
        <v>17</v>
      </c>
      <c r="M225" s="26">
        <f>Materialen!C21</f>
        <v>1.7349999999999999</v>
      </c>
      <c r="O225" s="24"/>
    </row>
    <row r="226" spans="3:15" ht="12.75">
      <c r="C226" t="s">
        <v>62</v>
      </c>
      <c r="H226" s="4"/>
      <c r="I226" s="4"/>
      <c r="J226" s="9"/>
      <c r="M226" s="26">
        <f>Materialen!C15</f>
        <v>4.32183908045977</v>
      </c>
      <c r="O226" s="24"/>
    </row>
    <row r="227" spans="3:15" ht="12.75">
      <c r="C227" t="s">
        <v>77</v>
      </c>
      <c r="H227" s="4"/>
      <c r="I227" s="4"/>
      <c r="J227" s="9"/>
      <c r="M227" s="26">
        <f>Materialen!C25</f>
        <v>0.19047619047619047</v>
      </c>
      <c r="O227" s="24"/>
    </row>
    <row r="228" spans="3:15" ht="12.75">
      <c r="C228" t="s">
        <v>78</v>
      </c>
      <c r="H228" s="24"/>
      <c r="I228" s="24"/>
      <c r="M228" s="26">
        <f>Materialen!C26</f>
        <v>0.19047619047619047</v>
      </c>
      <c r="O228" s="24"/>
    </row>
    <row r="229" spans="1:19" ht="12.75">
      <c r="A229" s="58"/>
      <c r="B229" s="59"/>
      <c r="C229" s="58"/>
      <c r="D229" s="58"/>
      <c r="E229" s="60"/>
      <c r="F229" s="60"/>
      <c r="G229" s="59"/>
      <c r="H229" s="61"/>
      <c r="I229" s="61"/>
      <c r="J229" s="60"/>
      <c r="K229" s="60"/>
      <c r="L229" s="59"/>
      <c r="M229" s="60"/>
      <c r="N229" s="58"/>
      <c r="O229" s="61"/>
      <c r="P229" s="58"/>
      <c r="Q229" s="59"/>
      <c r="R229" s="59"/>
      <c r="S229" s="59"/>
    </row>
    <row r="230" spans="1:15" ht="12.75">
      <c r="A230" s="27"/>
      <c r="B230" s="29"/>
      <c r="O230" s="30"/>
    </row>
    <row r="231" spans="1:2" ht="12.75">
      <c r="A231" s="27"/>
      <c r="B231" s="29"/>
    </row>
    <row r="232" spans="1:2" ht="12.75">
      <c r="A232" s="27"/>
      <c r="B232" s="29"/>
    </row>
    <row r="233" spans="1:2" ht="12.75">
      <c r="A233" s="27"/>
      <c r="B233" s="29"/>
    </row>
    <row r="234" spans="1:2" ht="12.75">
      <c r="A234" s="27"/>
      <c r="B234" s="29"/>
    </row>
    <row r="235" spans="1:2" ht="12.75">
      <c r="A235" s="27"/>
      <c r="B235" s="29"/>
    </row>
    <row r="240" ht="12.75">
      <c r="A240" s="28"/>
    </row>
  </sheetData>
  <autoFilter ref="A6:S6"/>
  <dataValidations count="2">
    <dataValidation type="list" allowBlank="1" showInputMessage="1" showErrorMessage="1" sqref="C7:C207">
      <formula1>$C$210:$C$228</formula1>
    </dataValidation>
    <dataValidation type="list" allowBlank="1" showInputMessage="1" showErrorMessage="1" sqref="H7:I207">
      <formula1>$H$210:$H$225</formula1>
    </dataValidation>
  </dataValidations>
  <printOptions/>
  <pageMargins left="0.3937007874015748" right="0.3937007874015748" top="0.3937007874015748" bottom="0.3937007874015748" header="0.5118110236220472" footer="0.5118110236220472"/>
  <pageSetup fitToHeight="5" fitToWidth="1" horizontalDpi="600" verticalDpi="600" orientation="landscape" paperSize="9" scale="81" r:id="rId3"/>
  <ignoredErrors>
    <ignoredError sqref="O24 O39 O48 O59 O70 O85 O100 O116 O130 O145 O158 O167 O192" formula="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X45"/>
  <sheetViews>
    <sheetView workbookViewId="0" topLeftCell="A1">
      <selection activeCell="K21" sqref="K21"/>
    </sheetView>
  </sheetViews>
  <sheetFormatPr defaultColWidth="9.140625" defaultRowHeight="12.75"/>
  <cols>
    <col min="1" max="1" width="17.7109375" style="0" customWidth="1"/>
    <col min="2" max="2" width="1.7109375" style="0" customWidth="1"/>
    <col min="3" max="3" width="12.7109375" style="24" customWidth="1"/>
    <col min="4" max="4" width="1.7109375" style="24" customWidth="1"/>
    <col min="5" max="5" width="12.7109375" style="24" customWidth="1"/>
    <col min="6" max="6" width="1.7109375" style="24" customWidth="1"/>
    <col min="7" max="7" width="12.7109375" style="24" customWidth="1"/>
    <col min="8" max="8" width="1.7109375" style="0" customWidth="1"/>
    <col min="9" max="9" width="12.7109375" style="24" customWidth="1"/>
    <col min="10" max="10" width="1.7109375" style="24" customWidth="1"/>
    <col min="11" max="11" width="12.7109375" style="24" customWidth="1"/>
    <col min="12" max="12" width="1.7109375" style="24" customWidth="1"/>
    <col min="13" max="13" width="12.7109375" style="0" customWidth="1"/>
    <col min="14" max="14" width="1.7109375" style="0" customWidth="1"/>
    <col min="15" max="15" width="12.7109375" style="37" customWidth="1"/>
    <col min="16" max="16" width="1.7109375" style="0" customWidth="1"/>
    <col min="17" max="17" width="12.7109375" style="36" customWidth="1"/>
    <col min="18" max="18" width="1.7109375" style="0" customWidth="1"/>
    <col min="19" max="19" width="12.7109375" style="37" customWidth="1"/>
    <col min="20" max="20" width="1.7109375" style="0" customWidth="1"/>
    <col min="21" max="21" width="12.7109375" style="0" customWidth="1"/>
    <col min="22" max="22" width="1.7109375" style="0" customWidth="1"/>
    <col min="23" max="23" width="12.7109375" style="0" customWidth="1"/>
    <col min="24" max="24" width="10.7109375" style="23" bestFit="1" customWidth="1"/>
  </cols>
  <sheetData>
    <row r="1" ht="26.25">
      <c r="A1" s="1" t="s">
        <v>162</v>
      </c>
    </row>
    <row r="2" ht="12.75">
      <c r="U2" s="24" t="s">
        <v>184</v>
      </c>
    </row>
    <row r="4" spans="3:24" s="41" customFormat="1" ht="89.25" customHeight="1">
      <c r="C4" s="41" t="s">
        <v>144</v>
      </c>
      <c r="E4" s="41" t="s">
        <v>145</v>
      </c>
      <c r="G4" s="41" t="s">
        <v>152</v>
      </c>
      <c r="I4" s="41" t="s">
        <v>148</v>
      </c>
      <c r="K4" s="41" t="s">
        <v>156</v>
      </c>
      <c r="M4" s="41" t="s">
        <v>146</v>
      </c>
      <c r="O4" s="42" t="s">
        <v>150</v>
      </c>
      <c r="Q4" s="42" t="s">
        <v>149</v>
      </c>
      <c r="S4" s="42" t="s">
        <v>151</v>
      </c>
      <c r="T4" s="42"/>
      <c r="U4" s="42" t="s">
        <v>185</v>
      </c>
      <c r="X4" s="43"/>
    </row>
    <row r="5" spans="3:24" s="6" customFormat="1" ht="27" customHeight="1">
      <c r="C5" s="6" t="s">
        <v>139</v>
      </c>
      <c r="E5" s="6" t="s">
        <v>140</v>
      </c>
      <c r="G5" s="6" t="s">
        <v>142</v>
      </c>
      <c r="I5" s="6" t="s">
        <v>143</v>
      </c>
      <c r="K5" s="6" t="s">
        <v>155</v>
      </c>
      <c r="M5" s="6" t="s">
        <v>141</v>
      </c>
      <c r="O5" s="39" t="s">
        <v>159</v>
      </c>
      <c r="Q5" s="40" t="s">
        <v>119</v>
      </c>
      <c r="S5" s="39" t="s">
        <v>160</v>
      </c>
      <c r="U5" s="6" t="s">
        <v>186</v>
      </c>
      <c r="X5" s="5"/>
    </row>
    <row r="6" spans="7:24" s="2" customFormat="1" ht="12.75">
      <c r="G6" s="2" t="s">
        <v>137</v>
      </c>
      <c r="I6" s="2" t="s">
        <v>123</v>
      </c>
      <c r="K6" s="2" t="s">
        <v>123</v>
      </c>
      <c r="O6" s="38" t="s">
        <v>126</v>
      </c>
      <c r="Q6" s="38" t="s">
        <v>126</v>
      </c>
      <c r="S6" s="38" t="s">
        <v>126</v>
      </c>
      <c r="U6" s="2" t="s">
        <v>126</v>
      </c>
      <c r="X6" s="7"/>
    </row>
    <row r="8" spans="1:21" ht="12.75">
      <c r="A8" s="4" t="s">
        <v>6</v>
      </c>
      <c r="C8" s="78">
        <v>0.05</v>
      </c>
      <c r="D8" s="2"/>
      <c r="E8" s="78">
        <v>0</v>
      </c>
      <c r="F8" s="2"/>
      <c r="G8" s="7">
        <f>'Oppervlaktes &amp; Volumes'!I12</f>
        <v>37.984</v>
      </c>
      <c r="H8" s="2"/>
      <c r="I8" s="2">
        <f>Temperaturen!B4</f>
        <v>23</v>
      </c>
      <c r="J8" s="2"/>
      <c r="K8" s="2">
        <f>Temperaturen!C$22</f>
        <v>17</v>
      </c>
      <c r="L8" s="2"/>
      <c r="M8" s="78">
        <v>3</v>
      </c>
      <c r="N8" s="2"/>
      <c r="O8" s="46">
        <f>0.34*M8*G8*(I8-K8)</f>
        <v>232.46208000000001</v>
      </c>
      <c r="P8" s="46"/>
      <c r="Q8" s="46">
        <f>'Warmteverliezen - Transmissie'!O145</f>
        <v>929.1517528833035</v>
      </c>
      <c r="R8" s="46"/>
      <c r="S8" s="46">
        <f>(O8+Q8)*(1+C8+E8)</f>
        <v>1219.6945245274687</v>
      </c>
      <c r="U8" s="56">
        <f>IF(S8&lt;0,"",S8)</f>
        <v>1219.6945245274687</v>
      </c>
    </row>
    <row r="9" spans="1:21" ht="12.75">
      <c r="A9" s="4" t="s">
        <v>0</v>
      </c>
      <c r="C9" s="78">
        <v>0.05</v>
      </c>
      <c r="D9" s="2"/>
      <c r="E9" s="78">
        <v>0</v>
      </c>
      <c r="F9" s="2"/>
      <c r="G9" s="7">
        <f>'Oppervlaktes &amp; Volumes'!I5</f>
        <v>24.856</v>
      </c>
      <c r="H9" s="2"/>
      <c r="I9" s="2">
        <f>Temperaturen!B5</f>
        <v>18</v>
      </c>
      <c r="J9" s="2"/>
      <c r="K9" s="2">
        <f>Temperaturen!C$22</f>
        <v>17</v>
      </c>
      <c r="L9" s="2"/>
      <c r="M9" s="78">
        <v>1</v>
      </c>
      <c r="N9" s="2"/>
      <c r="O9" s="46">
        <f aca="true" t="shared" si="0" ref="O9:O21">0.34*M9*G9*(I9-K9)</f>
        <v>8.45104</v>
      </c>
      <c r="P9" s="46"/>
      <c r="Q9" s="46">
        <f>'Warmteverliezen - Transmissie'!O39</f>
        <v>74.25011919721292</v>
      </c>
      <c r="R9" s="46"/>
      <c r="S9" s="46">
        <f aca="true" t="shared" si="1" ref="S9:S21">(O9+Q9)*(1+C9+E9)</f>
        <v>86.83621715707358</v>
      </c>
      <c r="U9" s="56">
        <f aca="true" t="shared" si="2" ref="U9:U21">IF(S9&lt;0,"",S9)</f>
        <v>86.83621715707358</v>
      </c>
    </row>
    <row r="10" spans="1:21" ht="12.75">
      <c r="A10" s="4" t="s">
        <v>10</v>
      </c>
      <c r="C10" s="78">
        <v>0.025</v>
      </c>
      <c r="D10" s="2"/>
      <c r="E10" s="78">
        <v>0</v>
      </c>
      <c r="F10" s="2"/>
      <c r="G10" s="7">
        <f>'Oppervlaktes &amp; Volumes'!I18</f>
        <v>10.725</v>
      </c>
      <c r="H10" s="2"/>
      <c r="I10" s="2">
        <f>Temperaturen!B7</f>
        <v>23</v>
      </c>
      <c r="J10" s="2"/>
      <c r="K10" s="2">
        <f>Temperaturen!C$22</f>
        <v>17</v>
      </c>
      <c r="L10" s="2"/>
      <c r="M10" s="78">
        <v>3</v>
      </c>
      <c r="N10" s="2"/>
      <c r="O10" s="46">
        <f t="shared" si="0"/>
        <v>65.637</v>
      </c>
      <c r="P10" s="46"/>
      <c r="Q10" s="46">
        <f>'Warmteverliezen - Transmissie'!O158</f>
        <v>262.5651939382831</v>
      </c>
      <c r="R10" s="46"/>
      <c r="S10" s="46">
        <f t="shared" si="1"/>
        <v>336.4072487867401</v>
      </c>
      <c r="U10" s="56">
        <f t="shared" si="2"/>
        <v>336.4072487867401</v>
      </c>
    </row>
    <row r="11" spans="1:21" ht="12.75">
      <c r="A11" s="4" t="s">
        <v>4</v>
      </c>
      <c r="C11" s="78">
        <v>0.05</v>
      </c>
      <c r="D11" s="2"/>
      <c r="E11" s="78">
        <v>0</v>
      </c>
      <c r="F11" s="2"/>
      <c r="G11" s="7">
        <f>'Oppervlaktes &amp; Volumes'!I10</f>
        <v>91.72799999999998</v>
      </c>
      <c r="H11" s="2"/>
      <c r="I11" s="2">
        <f>Temperaturen!B8</f>
        <v>12.5</v>
      </c>
      <c r="J11" s="2"/>
      <c r="K11" s="2">
        <v>-10</v>
      </c>
      <c r="L11" s="2"/>
      <c r="M11" s="78">
        <v>0</v>
      </c>
      <c r="N11" s="2"/>
      <c r="O11" s="46">
        <f t="shared" si="0"/>
        <v>0</v>
      </c>
      <c r="P11" s="46"/>
      <c r="Q11" s="46">
        <f>'Warmteverliezen - Transmissie'!O85</f>
        <v>64.63206533229732</v>
      </c>
      <c r="R11" s="46"/>
      <c r="S11" s="46">
        <f t="shared" si="1"/>
        <v>67.86366859891218</v>
      </c>
      <c r="U11" s="56">
        <f t="shared" si="2"/>
        <v>67.86366859891218</v>
      </c>
    </row>
    <row r="12" spans="1:21" ht="12.75">
      <c r="A12" s="4" t="s">
        <v>3</v>
      </c>
      <c r="C12" s="78">
        <v>0.05</v>
      </c>
      <c r="D12" s="2"/>
      <c r="E12" s="78">
        <v>0</v>
      </c>
      <c r="F12" s="2"/>
      <c r="G12" s="7">
        <f>'Oppervlaktes &amp; Volumes'!I9</f>
        <v>35.4744</v>
      </c>
      <c r="H12" s="2"/>
      <c r="I12" s="2">
        <f>Temperaturen!B10</f>
        <v>18</v>
      </c>
      <c r="J12" s="2"/>
      <c r="K12" s="2">
        <f>Temperaturen!C$22</f>
        <v>17</v>
      </c>
      <c r="L12" s="2"/>
      <c r="M12" s="78">
        <v>1</v>
      </c>
      <c r="N12" s="2"/>
      <c r="O12" s="46">
        <f t="shared" si="0"/>
        <v>12.061296000000002</v>
      </c>
      <c r="P12" s="46"/>
      <c r="Q12" s="46">
        <f>'Warmteverliezen - Transmissie'!O70</f>
        <v>142.09764501320342</v>
      </c>
      <c r="R12" s="46"/>
      <c r="S12" s="46">
        <f t="shared" si="1"/>
        <v>161.8668880638636</v>
      </c>
      <c r="U12" s="56">
        <f t="shared" si="2"/>
        <v>161.8668880638636</v>
      </c>
    </row>
    <row r="13" spans="1:21" ht="12.75">
      <c r="A13" s="4" t="s">
        <v>134</v>
      </c>
      <c r="C13" s="78">
        <v>0</v>
      </c>
      <c r="D13" s="2"/>
      <c r="E13" s="78">
        <v>0.01</v>
      </c>
      <c r="F13" s="2"/>
      <c r="G13" s="7">
        <f>'Oppervlaktes &amp; Volumes'!I4</f>
        <v>196.14816000000002</v>
      </c>
      <c r="H13" s="2"/>
      <c r="I13" s="2">
        <f>Temperaturen!B11</f>
        <v>22</v>
      </c>
      <c r="J13" s="2"/>
      <c r="K13" s="2">
        <f>Temperaturen!C$22</f>
        <v>17</v>
      </c>
      <c r="L13" s="2"/>
      <c r="M13" s="78">
        <v>2</v>
      </c>
      <c r="N13" s="2"/>
      <c r="O13" s="46">
        <f t="shared" si="0"/>
        <v>666.9037440000001</v>
      </c>
      <c r="P13" s="46"/>
      <c r="Q13" s="46">
        <f>'Warmteverliezen - Transmissie'!O24</f>
        <v>3337.715541045858</v>
      </c>
      <c r="R13" s="46"/>
      <c r="S13" s="46">
        <f t="shared" si="1"/>
        <v>4044.665477896317</v>
      </c>
      <c r="U13" s="56">
        <f t="shared" si="2"/>
        <v>4044.665477896317</v>
      </c>
    </row>
    <row r="14" spans="1:21" ht="12.75">
      <c r="A14" s="4" t="s">
        <v>8</v>
      </c>
      <c r="C14" s="78">
        <v>0.05</v>
      </c>
      <c r="D14" s="2"/>
      <c r="E14" s="78">
        <v>0.01</v>
      </c>
      <c r="F14" s="2"/>
      <c r="G14" s="7">
        <f>'Oppervlaktes &amp; Volumes'!I15</f>
        <v>113.25250000000001</v>
      </c>
      <c r="H14" s="2"/>
      <c r="I14" s="2">
        <f>Temperaturen!B12</f>
        <v>20</v>
      </c>
      <c r="J14" s="2"/>
      <c r="K14" s="2">
        <f>Temperaturen!C$22</f>
        <v>17</v>
      </c>
      <c r="L14" s="2"/>
      <c r="M14" s="78">
        <v>2</v>
      </c>
      <c r="N14" s="2"/>
      <c r="O14" s="46">
        <f t="shared" si="0"/>
        <v>231.03510000000006</v>
      </c>
      <c r="P14" s="46"/>
      <c r="Q14" s="46">
        <f>'Warmteverliezen - Transmissie'!O192</f>
        <v>1357.501284994389</v>
      </c>
      <c r="R14" s="46"/>
      <c r="S14" s="46">
        <f t="shared" si="1"/>
        <v>1683.8485680940523</v>
      </c>
      <c r="U14" s="56">
        <f t="shared" si="2"/>
        <v>1683.8485680940523</v>
      </c>
    </row>
    <row r="15" spans="1:21" ht="12.75">
      <c r="A15" s="4" t="s">
        <v>5</v>
      </c>
      <c r="C15" s="78">
        <v>0.025</v>
      </c>
      <c r="D15" s="2"/>
      <c r="E15" s="78">
        <v>0</v>
      </c>
      <c r="F15" s="2"/>
      <c r="G15" s="7">
        <f>'Oppervlaktes &amp; Volumes'!I11</f>
        <v>68.1425</v>
      </c>
      <c r="H15" s="2"/>
      <c r="I15" s="2">
        <f>Temperaturen!B13</f>
        <v>20</v>
      </c>
      <c r="J15" s="2"/>
      <c r="K15" s="2">
        <f>Temperaturen!C$22</f>
        <v>17</v>
      </c>
      <c r="L15" s="2"/>
      <c r="M15" s="78">
        <v>1</v>
      </c>
      <c r="N15" s="2"/>
      <c r="O15" s="46">
        <f t="shared" si="0"/>
        <v>69.50534999999999</v>
      </c>
      <c r="P15" s="46"/>
      <c r="Q15" s="46">
        <f>'Warmteverliezen - Transmissie'!O100</f>
        <v>662.5315692774499</v>
      </c>
      <c r="R15" s="46"/>
      <c r="S15" s="46">
        <f t="shared" si="1"/>
        <v>750.3378422593861</v>
      </c>
      <c r="U15" s="56">
        <f t="shared" si="2"/>
        <v>750.3378422593861</v>
      </c>
    </row>
    <row r="16" spans="1:21" ht="12.75">
      <c r="A16" s="4" t="s">
        <v>9</v>
      </c>
      <c r="C16" s="78">
        <v>0.025</v>
      </c>
      <c r="D16" s="2"/>
      <c r="E16" s="78">
        <v>0</v>
      </c>
      <c r="F16" s="2"/>
      <c r="G16" s="7">
        <f>'Oppervlaktes &amp; Volumes'!I17</f>
        <v>53.066500000000005</v>
      </c>
      <c r="H16" s="2"/>
      <c r="I16" s="2">
        <f>Temperaturen!B14</f>
        <v>20</v>
      </c>
      <c r="J16" s="2"/>
      <c r="K16" s="2">
        <f>Temperaturen!C$22</f>
        <v>17</v>
      </c>
      <c r="L16" s="2"/>
      <c r="M16" s="78">
        <v>1</v>
      </c>
      <c r="N16" s="2"/>
      <c r="O16" s="46">
        <f t="shared" si="0"/>
        <v>54.12783000000001</v>
      </c>
      <c r="P16" s="46"/>
      <c r="Q16" s="46">
        <f>'Warmteverliezen - Transmissie'!O116</f>
        <v>574.6289812608072</v>
      </c>
      <c r="R16" s="46"/>
      <c r="S16" s="46">
        <f t="shared" si="1"/>
        <v>644.4757315423274</v>
      </c>
      <c r="U16" s="56">
        <f t="shared" si="2"/>
        <v>644.4757315423274</v>
      </c>
    </row>
    <row r="17" spans="1:21" ht="12.75">
      <c r="A17" s="4" t="s">
        <v>11</v>
      </c>
      <c r="C17" s="78">
        <v>0.05</v>
      </c>
      <c r="D17" s="2"/>
      <c r="E17" s="78">
        <v>0</v>
      </c>
      <c r="F17" s="2"/>
      <c r="G17" s="7">
        <f>'Oppervlaktes &amp; Volumes'!I19</f>
        <v>45.27</v>
      </c>
      <c r="H17" s="2"/>
      <c r="I17" s="2">
        <f>Temperaturen!B15</f>
        <v>20</v>
      </c>
      <c r="J17" s="2"/>
      <c r="K17" s="2">
        <f>Temperaturen!C$22</f>
        <v>17</v>
      </c>
      <c r="L17" s="2"/>
      <c r="M17" s="78">
        <v>1</v>
      </c>
      <c r="N17" s="2"/>
      <c r="O17" s="46">
        <f t="shared" si="0"/>
        <v>46.1754</v>
      </c>
      <c r="P17" s="46"/>
      <c r="Q17" s="46">
        <f>'Warmteverliezen - Transmissie'!O130</f>
        <v>855.920852140583</v>
      </c>
      <c r="R17" s="46"/>
      <c r="S17" s="46">
        <f t="shared" si="1"/>
        <v>947.2010647476121</v>
      </c>
      <c r="U17" s="56">
        <f t="shared" si="2"/>
        <v>947.2010647476121</v>
      </c>
    </row>
    <row r="18" spans="1:21" ht="12.75">
      <c r="A18" s="4" t="s">
        <v>1</v>
      </c>
      <c r="C18" s="78">
        <v>0</v>
      </c>
      <c r="D18" s="2"/>
      <c r="E18" s="78">
        <v>0</v>
      </c>
      <c r="F18" s="2"/>
      <c r="G18" s="7">
        <f>'Oppervlaktes &amp; Volumes'!I7</f>
        <v>8.658000000000001</v>
      </c>
      <c r="H18" s="2"/>
      <c r="I18" s="2">
        <f>Temperaturen!B16</f>
        <v>18</v>
      </c>
      <c r="J18" s="2"/>
      <c r="K18" s="2">
        <f>Temperaturen!C$22</f>
        <v>17</v>
      </c>
      <c r="L18" s="2"/>
      <c r="M18" s="78">
        <v>1</v>
      </c>
      <c r="N18" s="2"/>
      <c r="O18" s="46">
        <f t="shared" si="0"/>
        <v>2.943720000000001</v>
      </c>
      <c r="P18" s="46"/>
      <c r="Q18" s="46">
        <f>'Warmteverliezen - Transmissie'!O59</f>
        <v>-60.65876008399256</v>
      </c>
      <c r="R18" s="46"/>
      <c r="S18" s="46">
        <f t="shared" si="1"/>
        <v>-57.71504008399256</v>
      </c>
      <c r="U18" s="56">
        <f t="shared" si="2"/>
      </c>
    </row>
    <row r="19" spans="1:21" ht="12.75">
      <c r="A19" s="4" t="s">
        <v>2</v>
      </c>
      <c r="C19" s="78">
        <v>0.05</v>
      </c>
      <c r="D19" s="2"/>
      <c r="E19" s="78">
        <v>0</v>
      </c>
      <c r="F19" s="2"/>
      <c r="G19" s="7">
        <f>'Oppervlaktes &amp; Volumes'!I8</f>
        <v>4.329000000000001</v>
      </c>
      <c r="H19" s="2"/>
      <c r="I19" s="2">
        <f>Temperaturen!B17</f>
        <v>18</v>
      </c>
      <c r="J19" s="2"/>
      <c r="K19" s="2">
        <f>Temperaturen!C$22</f>
        <v>17</v>
      </c>
      <c r="L19" s="2"/>
      <c r="M19" s="78">
        <v>2</v>
      </c>
      <c r="N19" s="2"/>
      <c r="O19" s="46">
        <f t="shared" si="0"/>
        <v>2.943720000000001</v>
      </c>
      <c r="P19" s="46"/>
      <c r="Q19" s="46">
        <f>'Warmteverliezen - Transmissie'!O48</f>
        <v>49.261844421185586</v>
      </c>
      <c r="R19" s="46"/>
      <c r="S19" s="46">
        <f t="shared" si="1"/>
        <v>54.81584264224487</v>
      </c>
      <c r="U19" s="56">
        <f t="shared" si="2"/>
        <v>54.81584264224487</v>
      </c>
    </row>
    <row r="20" spans="1:21" ht="12.75">
      <c r="A20" s="4" t="s">
        <v>7</v>
      </c>
      <c r="C20" s="78">
        <v>0.05</v>
      </c>
      <c r="D20" s="2"/>
      <c r="E20" s="78">
        <v>0</v>
      </c>
      <c r="F20" s="2"/>
      <c r="G20" s="7">
        <f>'Oppervlaktes &amp; Volumes'!I14</f>
        <v>3.9375</v>
      </c>
      <c r="H20" s="2"/>
      <c r="I20" s="2">
        <f>Temperaturen!B18</f>
        <v>18</v>
      </c>
      <c r="J20" s="2"/>
      <c r="K20" s="2">
        <f>Temperaturen!C$22</f>
        <v>17</v>
      </c>
      <c r="L20" s="2"/>
      <c r="M20" s="78">
        <v>2</v>
      </c>
      <c r="N20" s="2"/>
      <c r="O20" s="46">
        <f t="shared" si="0"/>
        <v>2.6775</v>
      </c>
      <c r="P20" s="46"/>
      <c r="Q20" s="46">
        <f>'Warmteverliezen - Transmissie'!O167</f>
        <v>-37.404372288990025</v>
      </c>
      <c r="R20" s="46"/>
      <c r="S20" s="46">
        <f t="shared" si="1"/>
        <v>-36.463215903439526</v>
      </c>
      <c r="U20" s="56">
        <f t="shared" si="2"/>
      </c>
    </row>
    <row r="21" spans="1:21" ht="12.75">
      <c r="A21" s="4" t="s">
        <v>12</v>
      </c>
      <c r="C21" s="78">
        <v>0.05</v>
      </c>
      <c r="D21" s="2"/>
      <c r="E21" s="78">
        <v>0</v>
      </c>
      <c r="F21" s="2"/>
      <c r="G21" s="7">
        <f>'Oppervlaktes &amp; Volumes'!I20</f>
        <v>209.898</v>
      </c>
      <c r="H21" s="2"/>
      <c r="I21" s="2">
        <f>Temperaturen!B19</f>
        <v>17</v>
      </c>
      <c r="J21" s="2"/>
      <c r="K21" s="2">
        <v>-10</v>
      </c>
      <c r="L21" s="2"/>
      <c r="M21" s="78">
        <v>1</v>
      </c>
      <c r="N21" s="2"/>
      <c r="O21" s="46">
        <f t="shared" si="0"/>
        <v>1926.86364</v>
      </c>
      <c r="P21" s="46"/>
      <c r="Q21" s="46">
        <f>'Warmteverliezen - Transmissie'!O205</f>
        <v>-708.3648387957129</v>
      </c>
      <c r="R21" s="46"/>
      <c r="S21" s="46">
        <f t="shared" si="1"/>
        <v>1279.4237412645016</v>
      </c>
      <c r="U21" s="56">
        <f t="shared" si="2"/>
        <v>1279.4237412645016</v>
      </c>
    </row>
    <row r="22" spans="1:21" ht="12.75">
      <c r="A22" s="4"/>
      <c r="O22" s="36"/>
      <c r="P22" s="24"/>
      <c r="R22" s="24"/>
      <c r="S22" s="36"/>
      <c r="U22" s="4"/>
    </row>
    <row r="23" spans="1:21" ht="15.75">
      <c r="A23" s="4"/>
      <c r="O23" s="54">
        <f>SUM(O8:O22)</f>
        <v>3321.78742</v>
      </c>
      <c r="P23" s="55"/>
      <c r="Q23" s="54">
        <f>SUM(Q8:Q22)</f>
        <v>7503.82887833588</v>
      </c>
      <c r="R23" s="55"/>
      <c r="S23" s="54">
        <f>SUM(S8:S22)</f>
        <v>11183.258559593069</v>
      </c>
      <c r="U23" s="57">
        <f>SUM(U8:U21)</f>
        <v>11277.4368155805</v>
      </c>
    </row>
    <row r="24" spans="1:21" ht="12.75">
      <c r="A24" s="4"/>
      <c r="U24" s="4"/>
    </row>
    <row r="25" spans="1:21" ht="12.75">
      <c r="A25" s="4" t="s">
        <v>157</v>
      </c>
      <c r="U25" s="4"/>
    </row>
    <row r="26" spans="1:21" ht="12.75">
      <c r="A26" s="4"/>
      <c r="U26" s="4"/>
    </row>
    <row r="27" spans="1:21" ht="12.75">
      <c r="A27" s="44" t="s">
        <v>139</v>
      </c>
      <c r="B27" s="25" t="s">
        <v>158</v>
      </c>
      <c r="C27" s="31" t="s">
        <v>167</v>
      </c>
      <c r="U27" s="4"/>
    </row>
    <row r="28" spans="1:21" ht="12.75">
      <c r="A28" s="44"/>
      <c r="C28" s="31"/>
      <c r="U28" s="4"/>
    </row>
    <row r="29" spans="1:21" ht="12.75">
      <c r="A29" s="44" t="s">
        <v>140</v>
      </c>
      <c r="B29" s="25" t="s">
        <v>158</v>
      </c>
      <c r="C29" s="31" t="s">
        <v>166</v>
      </c>
      <c r="U29" s="4"/>
    </row>
    <row r="30" spans="1:21" ht="12.75">
      <c r="A30" s="44"/>
      <c r="C30" s="31"/>
      <c r="U30" s="4"/>
    </row>
    <row r="31" spans="1:21" ht="12.75">
      <c r="A31" s="44" t="s">
        <v>142</v>
      </c>
      <c r="B31" s="25" t="s">
        <v>158</v>
      </c>
      <c r="C31" s="31" t="s">
        <v>165</v>
      </c>
      <c r="U31" s="4"/>
    </row>
    <row r="32" spans="1:21" ht="12.75">
      <c r="A32" s="44"/>
      <c r="C32" s="31"/>
      <c r="U32" s="4"/>
    </row>
    <row r="33" spans="1:21" ht="12.75">
      <c r="A33" s="44" t="s">
        <v>143</v>
      </c>
      <c r="B33" s="25" t="s">
        <v>158</v>
      </c>
      <c r="C33" s="31" t="s">
        <v>164</v>
      </c>
      <c r="U33" s="4"/>
    </row>
    <row r="34" spans="1:21" ht="12.75">
      <c r="A34" s="44"/>
      <c r="C34" s="31"/>
      <c r="U34" s="4"/>
    </row>
    <row r="35" spans="1:21" ht="12.75">
      <c r="A35" s="44" t="s">
        <v>155</v>
      </c>
      <c r="B35" s="25" t="s">
        <v>158</v>
      </c>
      <c r="C35" s="31" t="s">
        <v>161</v>
      </c>
      <c r="U35" s="4"/>
    </row>
    <row r="36" spans="1:21" ht="12.75">
      <c r="A36" s="44"/>
      <c r="C36" s="31"/>
      <c r="U36" s="4"/>
    </row>
    <row r="37" spans="1:21" ht="12.75">
      <c r="A37" s="44" t="s">
        <v>141</v>
      </c>
      <c r="B37" s="25" t="s">
        <v>158</v>
      </c>
      <c r="C37" s="31" t="s">
        <v>280</v>
      </c>
      <c r="U37" s="4"/>
    </row>
    <row r="38" spans="1:21" ht="12.75">
      <c r="A38" s="44"/>
      <c r="C38" s="31"/>
      <c r="U38" s="4"/>
    </row>
    <row r="39" spans="1:21" ht="12.75">
      <c r="A39" s="44" t="s">
        <v>159</v>
      </c>
      <c r="B39" s="25" t="s">
        <v>158</v>
      </c>
      <c r="C39" s="31" t="s">
        <v>150</v>
      </c>
      <c r="F39" s="24" t="s">
        <v>158</v>
      </c>
      <c r="U39" s="4"/>
    </row>
    <row r="40" spans="1:21" ht="12.75">
      <c r="A40" s="44"/>
      <c r="C40" s="31"/>
      <c r="U40" s="4"/>
    </row>
    <row r="41" spans="1:21" ht="12.75">
      <c r="A41" s="44" t="s">
        <v>119</v>
      </c>
      <c r="B41" s="25" t="s">
        <v>158</v>
      </c>
      <c r="C41" s="31" t="s">
        <v>149</v>
      </c>
      <c r="F41" s="45"/>
      <c r="U41" s="4"/>
    </row>
    <row r="42" spans="1:21" ht="12.75">
      <c r="A42" s="44"/>
      <c r="C42" s="31"/>
      <c r="U42" s="4"/>
    </row>
    <row r="43" spans="1:21" ht="12.75">
      <c r="A43" s="44" t="s">
        <v>160</v>
      </c>
      <c r="B43" s="25" t="s">
        <v>158</v>
      </c>
      <c r="C43" s="31" t="s">
        <v>151</v>
      </c>
      <c r="F43" s="45" t="s">
        <v>158</v>
      </c>
      <c r="U43" s="4"/>
    </row>
    <row r="44" spans="1:21" ht="12.75">
      <c r="A44" s="4"/>
      <c r="U44" s="4"/>
    </row>
    <row r="45" spans="1:3" ht="12.75">
      <c r="A45" s="24" t="s">
        <v>186</v>
      </c>
      <c r="B45" s="25" t="s">
        <v>158</v>
      </c>
      <c r="C45" s="31" t="s">
        <v>187</v>
      </c>
    </row>
  </sheetData>
  <printOptions/>
  <pageMargins left="0.3937007874015748" right="0.3937007874015748" top="0.3937007874015748" bottom="0.3937007874015748" header="0.5118110236220472" footer="0.5118110236220472"/>
  <pageSetup fitToHeight="1" fitToWidth="1" horizontalDpi="600" verticalDpi="600" orientation="landscape" paperSize="9" scale="81" r:id="rId4"/>
  <legacyDrawing r:id="rId3"/>
  <oleObjects>
    <oleObject progId="Equation.3" shapeId="813131" r:id="rId1"/>
    <oleObject progId="Equation.3" shapeId="819896" r:id="rId2"/>
  </oleObjects>
</worksheet>
</file>

<file path=xl/worksheets/sheet9.xml><?xml version="1.0" encoding="utf-8"?>
<worksheet xmlns="http://schemas.openxmlformats.org/spreadsheetml/2006/main" xmlns:r="http://schemas.openxmlformats.org/officeDocument/2006/relationships">
  <dimension ref="A1:F320"/>
  <sheetViews>
    <sheetView workbookViewId="0" topLeftCell="A1">
      <selection activeCell="G194" sqref="G194"/>
    </sheetView>
  </sheetViews>
  <sheetFormatPr defaultColWidth="9.140625" defaultRowHeight="12.75"/>
  <cols>
    <col min="1" max="1" width="30.140625" style="0" bestFit="1" customWidth="1"/>
    <col min="4" max="4" width="11.421875" style="0" bestFit="1" customWidth="1"/>
  </cols>
  <sheetData>
    <row r="1" ht="26.25">
      <c r="A1" s="1" t="s">
        <v>279</v>
      </c>
    </row>
    <row r="2" ht="12.75">
      <c r="F2" s="24" t="s">
        <v>184</v>
      </c>
    </row>
    <row r="3" ht="12.75" hidden="1"/>
    <row r="4" spans="1:2" ht="12.75" hidden="1">
      <c r="A4" t="str">
        <f>'Warmteverliezen - Transmissie'!C7</f>
        <v>GLV vloer op isolatie</v>
      </c>
      <c r="B4" s="113">
        <f>'Warmteverliezen - Transmissie'!O7</f>
        <v>234.5380342636423</v>
      </c>
    </row>
    <row r="5" spans="1:2" ht="12.75" hidden="1">
      <c r="A5" t="str">
        <f>'Warmteverliezen - Transmissie'!C8</f>
        <v>GLV plafond / VDP vloer</v>
      </c>
      <c r="B5" s="113">
        <f>'Warmteverliezen - Transmissie'!O8</f>
        <v>95.16968741278257</v>
      </c>
    </row>
    <row r="6" spans="1:2" ht="12.75" hidden="1">
      <c r="A6" t="str">
        <f>'Warmteverliezen - Transmissie'!C9</f>
        <v>GLV plafond / VDP vloer</v>
      </c>
      <c r="B6" s="113">
        <f>'Warmteverliezen - Transmissie'!O9</f>
        <v>100.55665085124197</v>
      </c>
    </row>
    <row r="7" spans="1:2" ht="12.75" hidden="1">
      <c r="A7" t="str">
        <f>'Warmteverliezen - Transmissie'!C10</f>
        <v>GLV plafond / VDP vloer</v>
      </c>
      <c r="B7" s="113">
        <f>'Warmteverliezen - Transmissie'!O10</f>
        <v>8.389952553725928</v>
      </c>
    </row>
    <row r="8" spans="1:2" ht="12.75" hidden="1">
      <c r="A8" t="str">
        <f>'Warmteverliezen - Transmissie'!C11</f>
        <v>GLV plafond / VDP vloer</v>
      </c>
      <c r="B8" s="113">
        <f>'Warmteverliezen - Transmissie'!O11</f>
        <v>71.82617917945856</v>
      </c>
    </row>
    <row r="9" spans="1:2" ht="12.75" hidden="1">
      <c r="A9" t="str">
        <f>'Warmteverliezen - Transmissie'!C12</f>
        <v>GLV plafond / VDP vloer</v>
      </c>
      <c r="B9" s="113">
        <f>'Warmteverliezen - Transmissie'!O12</f>
        <v>-8.441110801004744</v>
      </c>
    </row>
    <row r="10" spans="1:2" ht="12.75" hidden="1">
      <c r="A10" t="str">
        <f>'Warmteverliezen - Transmissie'!C13</f>
        <v>Binnenmuur dragend</v>
      </c>
      <c r="B10" s="113">
        <f>'Warmteverliezen - Transmissie'!O13</f>
        <v>38.83261802575107</v>
      </c>
    </row>
    <row r="11" spans="1:2" ht="12.75" hidden="1">
      <c r="A11" t="str">
        <f>'Warmteverliezen - Transmissie'!C14</f>
        <v>Binnenmuur dragend</v>
      </c>
      <c r="B11" s="113">
        <f>'Warmteverliezen - Transmissie'!O14</f>
        <v>-9.27038626609442</v>
      </c>
    </row>
    <row r="12" spans="1:2" ht="12.75" hidden="1">
      <c r="A12" t="str">
        <f>'Warmteverliezen - Transmissie'!C15</f>
        <v>Binnendeur</v>
      </c>
      <c r="B12" s="113">
        <f>'Warmteverliezen - Transmissie'!O15</f>
        <v>8.937931034482759</v>
      </c>
    </row>
    <row r="13" spans="1:2" ht="12.75" hidden="1">
      <c r="A13" t="str">
        <f>'Warmteverliezen - Transmissie'!C16</f>
        <v>Binnenmuur dragend</v>
      </c>
      <c r="B13" s="113">
        <f>'Warmteverliezen - Transmissie'!O16</f>
        <v>24.7725321888412</v>
      </c>
    </row>
    <row r="14" spans="1:2" ht="12.75" hidden="1">
      <c r="A14" t="str">
        <f>'Warmteverliezen - Transmissie'!C17</f>
        <v>Binnendeur</v>
      </c>
      <c r="B14" s="113">
        <f>'Warmteverliezen - Transmissie'!O17</f>
        <v>48.93020689655173</v>
      </c>
    </row>
    <row r="15" spans="1:2" ht="12.75" hidden="1">
      <c r="A15" t="str">
        <f>'Warmteverliezen - Transmissie'!C18</f>
        <v>Binnenmuur dragend (garage)</v>
      </c>
      <c r="B15" s="113">
        <f>'Warmteverliezen - Transmissie'!O18</f>
        <v>203.11339285714283</v>
      </c>
    </row>
    <row r="16" spans="1:2" ht="12.75" hidden="1">
      <c r="A16" t="str">
        <f>'Warmteverliezen - Transmissie'!C19</f>
        <v>Buitenmuur Gevelsteen</v>
      </c>
      <c r="B16" s="113">
        <f>'Warmteverliezen - Transmissie'!O19</f>
        <v>141.89273296997848</v>
      </c>
    </row>
    <row r="17" spans="1:2" ht="12.75" hidden="1">
      <c r="A17" t="str">
        <f>'Warmteverliezen - Transmissie'!C20</f>
        <v>Buitenmuur Gevelsteen</v>
      </c>
      <c r="B17" s="113">
        <f>'Warmteverliezen - Transmissie'!O20</f>
        <v>-21.312973090620346</v>
      </c>
    </row>
    <row r="18" spans="1:2" ht="12.75" hidden="1">
      <c r="A18" t="str">
        <f>'Warmteverliezen - Transmissie'!C21</f>
        <v>Raam</v>
      </c>
      <c r="B18" s="113">
        <f>'Warmteverliezen - Transmissie'!O21</f>
        <v>109.92960000000001</v>
      </c>
    </row>
    <row r="19" spans="1:2" ht="12.75" hidden="1">
      <c r="A19" t="str">
        <f>'Warmteverliezen - Transmissie'!C22</f>
        <v>Raam</v>
      </c>
      <c r="B19" s="113">
        <f>'Warmteverliezen - Transmissie'!O22</f>
        <v>2147.95776</v>
      </c>
    </row>
    <row r="20" spans="1:2" ht="12.75" hidden="1">
      <c r="A20" t="str">
        <f>'Warmteverliezen - Transmissie'!C23</f>
        <v>Buitenmuur Gevelsteen</v>
      </c>
      <c r="B20" s="113">
        <f>'Warmteverliezen - Transmissie'!O23</f>
        <v>141.89273296997848</v>
      </c>
    </row>
    <row r="21" spans="1:2" ht="12.75" hidden="1">
      <c r="A21" t="str">
        <f>'Warmteverliezen - Transmissie'!C25</f>
        <v>GLV vloer op isolatie</v>
      </c>
      <c r="B21" s="113">
        <f>'Warmteverliezen - Transmissie'!O25</f>
        <v>24.819745269470243</v>
      </c>
    </row>
    <row r="22" spans="1:2" ht="12.75" hidden="1">
      <c r="A22" t="str">
        <f>'Warmteverliezen - Transmissie'!C26</f>
        <v>GLV plafond / VDP vloer</v>
      </c>
      <c r="B22" s="113">
        <f>'Warmteverliezen - Transmissie'!O26</f>
        <v>-102.71001953670107</v>
      </c>
    </row>
    <row r="23" spans="1:2" ht="12.75" hidden="1">
      <c r="A23" t="str">
        <f>'Warmteverliezen - Transmissie'!C27</f>
        <v>Buitenmuur Gevelsteen</v>
      </c>
      <c r="B23" s="113">
        <f>'Warmteverliezen - Transmissie'!O27</f>
        <v>71.01633331584227</v>
      </c>
    </row>
    <row r="24" spans="1:2" ht="12.75" hidden="1">
      <c r="A24" t="str">
        <f>'Warmteverliezen - Transmissie'!C28</f>
        <v>Buitenmuur Gevelsteen</v>
      </c>
      <c r="B24" s="113">
        <f>'Warmteverliezen - Transmissie'!O28</f>
        <v>44.07910343741935</v>
      </c>
    </row>
    <row r="25" spans="1:2" ht="12.75" hidden="1">
      <c r="A25" t="str">
        <f>'Warmteverliezen - Transmissie'!C29</f>
        <v>Buitenmuur Crepi</v>
      </c>
      <c r="B25" s="113">
        <f>'Warmteverliezen - Transmissie'!O29</f>
        <v>19.615384586229467</v>
      </c>
    </row>
    <row r="26" spans="1:2" ht="12.75" hidden="1">
      <c r="A26" t="str">
        <f>'Warmteverliezen - Transmissie'!C30</f>
        <v>Buitenmuur Crepi</v>
      </c>
      <c r="B26" s="113">
        <f>'Warmteverliezen - Transmissie'!O30</f>
        <v>-5.281065080907933</v>
      </c>
    </row>
    <row r="27" spans="1:2" ht="12.75" hidden="1">
      <c r="A27" t="str">
        <f>'Warmteverliezen - Transmissie'!C31</f>
        <v>Raam</v>
      </c>
      <c r="B27" s="113">
        <f>'Warmteverliezen - Transmissie'!O31</f>
        <v>61.2108</v>
      </c>
    </row>
    <row r="28" spans="1:2" ht="12.75" hidden="1">
      <c r="A28" t="str">
        <f>'Warmteverliezen - Transmissie'!C32</f>
        <v>Binnenmuur dragend</v>
      </c>
      <c r="B28" s="113">
        <f>'Warmteverliezen - Transmissie'!O32</f>
        <v>-38.83261802575107</v>
      </c>
    </row>
    <row r="29" spans="1:2" ht="12.75" hidden="1">
      <c r="A29" t="str">
        <f>'Warmteverliezen - Transmissie'!C33</f>
        <v>Binnenmuur dragend</v>
      </c>
      <c r="B29" s="113">
        <f>'Warmteverliezen - Transmissie'!O33</f>
        <v>9.27038626609442</v>
      </c>
    </row>
    <row r="30" spans="1:2" ht="12.75" hidden="1">
      <c r="A30" t="str">
        <f>'Warmteverliezen - Transmissie'!C34</f>
        <v>Binnendeur</v>
      </c>
      <c r="B30" s="113">
        <f>'Warmteverliezen - Transmissie'!O34</f>
        <v>-8.937931034482759</v>
      </c>
    </row>
    <row r="31" spans="1:2" ht="12.75" hidden="1">
      <c r="A31" t="str">
        <f>'Warmteverliezen - Transmissie'!C35</f>
        <v>Binnenmuur dragend</v>
      </c>
      <c r="B31" s="113">
        <f>'Warmteverliezen - Transmissie'!O35</f>
        <v>0</v>
      </c>
    </row>
    <row r="32" spans="1:2" ht="12.75" hidden="1">
      <c r="A32" t="str">
        <f>'Warmteverliezen - Transmissie'!C36</f>
        <v>Binnenmuur dragend</v>
      </c>
      <c r="B32" s="113">
        <f>'Warmteverliezen - Transmissie'!O36</f>
        <v>0</v>
      </c>
    </row>
    <row r="33" spans="1:2" ht="12.75" hidden="1">
      <c r="A33" t="str">
        <f>'Warmteverliezen - Transmissie'!C37</f>
        <v>Binnendeur</v>
      </c>
      <c r="B33" s="113">
        <f>'Warmteverliezen - Transmissie'!O37</f>
        <v>0</v>
      </c>
    </row>
    <row r="34" spans="1:2" ht="12.75" hidden="1">
      <c r="A34" t="str">
        <f>'Warmteverliezen - Transmissie'!C38</f>
        <v>Binnenmuur dragend</v>
      </c>
      <c r="B34" s="113">
        <f>'Warmteverliezen - Transmissie'!O38</f>
        <v>0</v>
      </c>
    </row>
    <row r="35" spans="1:2" ht="12.75" hidden="1">
      <c r="A35" t="str">
        <f>'Warmteverliezen - Transmissie'!C40</f>
        <v>GLV vloer op isolatie</v>
      </c>
      <c r="B35" s="113">
        <f>'Warmteverliezen - Transmissie'!O40</f>
        <v>3.9583214438379266</v>
      </c>
    </row>
    <row r="36" spans="1:2" ht="12.75" hidden="1">
      <c r="A36" t="str">
        <f>'Warmteverliezen - Transmissie'!C41</f>
        <v>GLV plafond / VDP vloer</v>
      </c>
      <c r="B36" s="113">
        <f>'Warmteverliezen - Transmissie'!O41</f>
        <v>0</v>
      </c>
    </row>
    <row r="37" spans="1:2" ht="12.75" hidden="1">
      <c r="A37" t="str">
        <f>'Warmteverliezen - Transmissie'!C42</f>
        <v>Buitenmuur Gevelsteen</v>
      </c>
      <c r="B37" s="113">
        <f>'Warmteverliezen - Transmissie'!O42</f>
        <v>45.30352297734766</v>
      </c>
    </row>
    <row r="38" spans="1:2" ht="12.75" hidden="1">
      <c r="A38" t="str">
        <f>'Warmteverliezen - Transmissie'!C43</f>
        <v>Binnenmuur dragend</v>
      </c>
      <c r="B38" s="113">
        <f>'Warmteverliezen - Transmissie'!O43</f>
        <v>0</v>
      </c>
    </row>
    <row r="39" spans="1:2" ht="12.75" hidden="1">
      <c r="A39" t="str">
        <f>'Warmteverliezen - Transmissie'!C44</f>
        <v>Binnenmuur niet-dragend</v>
      </c>
      <c r="B39" s="113">
        <f>'Warmteverliezen - Transmissie'!O44</f>
        <v>0</v>
      </c>
    </row>
    <row r="40" spans="1:2" ht="12.75" hidden="1">
      <c r="A40" t="str">
        <f>'Warmteverliezen - Transmissie'!C45</f>
        <v>Binnenmuur niet-dragend</v>
      </c>
      <c r="B40" s="113">
        <f>'Warmteverliezen - Transmissie'!O45</f>
        <v>0</v>
      </c>
    </row>
    <row r="41" spans="1:2" ht="12.75" hidden="1">
      <c r="A41" t="str">
        <f>'Warmteverliezen - Transmissie'!C46</f>
        <v>Binnendeur</v>
      </c>
      <c r="B41" s="113">
        <f>'Warmteverliezen - Transmissie'!O46</f>
        <v>0</v>
      </c>
    </row>
    <row r="42" spans="1:2" ht="12.75" hidden="1">
      <c r="A42" t="str">
        <f>'Warmteverliezen - Transmissie'!C47</f>
        <v>Binnenmuur niet-dragend</v>
      </c>
      <c r="B42" s="113">
        <f>'Warmteverliezen - Transmissie'!O47</f>
        <v>0</v>
      </c>
    </row>
    <row r="43" spans="1:2" ht="12.75" hidden="1">
      <c r="A43" t="str">
        <f>'Warmteverliezen - Transmissie'!C49</f>
        <v>GLV vloer op isolatie</v>
      </c>
      <c r="B43" s="113">
        <f>'Warmteverliezen - Transmissie'!O49</f>
        <v>11.435150837754012</v>
      </c>
    </row>
    <row r="44" spans="1:2" ht="12.75" hidden="1">
      <c r="A44" t="str">
        <f>'Warmteverliezen - Transmissie'!C50</f>
        <v>GLV plafond / VDP vloer</v>
      </c>
      <c r="B44" s="113">
        <f>'Warmteverliezen - Transmissie'!O50</f>
        <v>-47.32137873290538</v>
      </c>
    </row>
    <row r="45" spans="1:2" ht="12.75" hidden="1">
      <c r="A45" t="str">
        <f>'Warmteverliezen - Transmissie'!C51</f>
        <v>Binnenmuur niet-dragend</v>
      </c>
      <c r="B45" s="113">
        <f>'Warmteverliezen - Transmissie'!O51</f>
        <v>0</v>
      </c>
    </row>
    <row r="46" spans="1:2" ht="12.75" hidden="1">
      <c r="A46" t="str">
        <f>'Warmteverliezen - Transmissie'!C52</f>
        <v>Binnenmuur niet-dragend</v>
      </c>
      <c r="B46" s="113">
        <f>'Warmteverliezen - Transmissie'!O52</f>
        <v>0</v>
      </c>
    </row>
    <row r="47" spans="1:2" ht="12.75" hidden="1">
      <c r="A47" t="str">
        <f>'Warmteverliezen - Transmissie'!C53</f>
        <v>Binnendeur</v>
      </c>
      <c r="B47" s="113">
        <f>'Warmteverliezen - Transmissie'!O53</f>
        <v>0</v>
      </c>
    </row>
    <row r="48" spans="1:2" ht="12.75" hidden="1">
      <c r="A48" t="str">
        <f>'Warmteverliezen - Transmissie'!C54</f>
        <v>Binnenmuur dragend</v>
      </c>
      <c r="B48" s="113">
        <f>'Warmteverliezen - Transmissie'!O54</f>
        <v>0</v>
      </c>
    </row>
    <row r="49" spans="1:2" ht="12.75" hidden="1">
      <c r="A49" t="str">
        <f>'Warmteverliezen - Transmissie'!C55</f>
        <v>Binnenmuur dragend</v>
      </c>
      <c r="B49" s="113">
        <f>'Warmteverliezen - Transmissie'!O55</f>
        <v>0</v>
      </c>
    </row>
    <row r="50" spans="1:2" ht="12.75" hidden="1">
      <c r="A50" t="str">
        <f>'Warmteverliezen - Transmissie'!C56</f>
        <v>Binnendeur</v>
      </c>
      <c r="B50" s="113">
        <f>'Warmteverliezen - Transmissie'!O56</f>
        <v>0</v>
      </c>
    </row>
    <row r="51" spans="1:2" ht="12.75" hidden="1">
      <c r="A51" t="str">
        <f>'Warmteverliezen - Transmissie'!C57</f>
        <v>Binnenmuur dragend</v>
      </c>
      <c r="B51" s="113">
        <f>'Warmteverliezen - Transmissie'!O57</f>
        <v>-24.7725321888412</v>
      </c>
    </row>
    <row r="52" spans="1:2" ht="12.75" hidden="1">
      <c r="A52" t="str">
        <f>'Warmteverliezen - Transmissie'!C58</f>
        <v>Binnenmuur dragend</v>
      </c>
      <c r="B52" s="113">
        <f>'Warmteverliezen - Transmissie'!O58</f>
        <v>0</v>
      </c>
    </row>
    <row r="53" spans="1:2" ht="12.75" hidden="1">
      <c r="A53" t="str">
        <f>'Warmteverliezen - Transmissie'!C60</f>
        <v>GLV vloer op isolatie</v>
      </c>
      <c r="B53" s="113">
        <f>'Warmteverliezen - Transmissie'!O60</f>
        <v>31.62591851965859</v>
      </c>
    </row>
    <row r="54" spans="1:2" ht="12.75" hidden="1">
      <c r="A54" t="str">
        <f>'Warmteverliezen - Transmissie'!C61</f>
        <v>GLV plafond / VDP vloer</v>
      </c>
      <c r="B54" s="113">
        <f>'Warmteverliezen - Transmissie'!O61</f>
        <v>-52.350234440413054</v>
      </c>
    </row>
    <row r="55" spans="1:2" ht="12.75" hidden="1">
      <c r="A55" t="str">
        <f>'Warmteverliezen - Transmissie'!C62</f>
        <v>Buitenmuur Crepi</v>
      </c>
      <c r="B55" s="113">
        <f>'Warmteverliezen - Transmissie'!O62</f>
        <v>27.243589703096475</v>
      </c>
    </row>
    <row r="56" spans="1:2" ht="12.75" hidden="1">
      <c r="A56" t="str">
        <f>'Warmteverliezen - Transmissie'!C63</f>
        <v>Buitendeur</v>
      </c>
      <c r="B56" s="113">
        <f>'Warmteverliezen - Transmissie'!O63</f>
        <v>117.28581027027029</v>
      </c>
    </row>
    <row r="57" spans="1:2" ht="12.75" hidden="1">
      <c r="A57" t="str">
        <f>'Warmteverliezen - Transmissie'!C64</f>
        <v>Binnenmuur niet-dragend</v>
      </c>
      <c r="B57" s="113">
        <f>'Warmteverliezen - Transmissie'!O64</f>
        <v>0</v>
      </c>
    </row>
    <row r="58" spans="1:2" ht="12.75" hidden="1">
      <c r="A58" t="str">
        <f>'Warmteverliezen - Transmissie'!C65</f>
        <v>Binnenmuur dragend</v>
      </c>
      <c r="B58" s="113">
        <f>'Warmteverliezen - Transmissie'!O65</f>
        <v>0</v>
      </c>
    </row>
    <row r="59" spans="1:2" ht="12.75" hidden="1">
      <c r="A59" t="str">
        <f>'Warmteverliezen - Transmissie'!C66</f>
        <v>Binnendeur</v>
      </c>
      <c r="B59" s="113">
        <f>'Warmteverliezen - Transmissie'!O66</f>
        <v>-48.93020689655173</v>
      </c>
    </row>
    <row r="60" spans="1:2" ht="12.75" hidden="1">
      <c r="A60" t="str">
        <f>'Warmteverliezen - Transmissie'!C67</f>
        <v>Binnenmuur dragend (garage)</v>
      </c>
      <c r="B60" s="113">
        <f>'Warmteverliezen - Transmissie'!O67</f>
        <v>67.22276785714284</v>
      </c>
    </row>
    <row r="61" spans="1:2" ht="12.75" hidden="1">
      <c r="A61" t="str">
        <f>'Warmteverliezen - Transmissie'!C68</f>
        <v>Binnenmuur dragend (garage)</v>
      </c>
      <c r="B61" s="113">
        <f>'Warmteverliezen - Transmissie'!O68</f>
        <v>-13.25892857142857</v>
      </c>
    </row>
    <row r="62" spans="1:2" ht="12.75" hidden="1">
      <c r="A62" t="str">
        <f>'Warmteverliezen - Transmissie'!C69</f>
        <v>Binnendeur</v>
      </c>
      <c r="B62" s="113">
        <f>'Warmteverliezen - Transmissie'!O69</f>
        <v>12.289655172413793</v>
      </c>
    </row>
    <row r="63" spans="1:2" ht="12.75" hidden="1">
      <c r="A63" t="str">
        <f>'Warmteverliezen - Transmissie'!C71</f>
        <v>GLV vloer niet op isolatie</v>
      </c>
      <c r="B63" s="113">
        <f>'Warmteverliezen - Transmissie'!O71</f>
        <v>252.67880590721035</v>
      </c>
    </row>
    <row r="64" spans="1:2" ht="12.75" hidden="1">
      <c r="A64" t="str">
        <f>'Warmteverliezen - Transmissie'!C72</f>
        <v>GLV plafond garage / VDP vloer</v>
      </c>
      <c r="B64" s="113">
        <f>'Warmteverliezen - Transmissie'!O72</f>
        <v>-298.66572742102926</v>
      </c>
    </row>
    <row r="65" spans="1:2" ht="12.75" hidden="1">
      <c r="A65" t="str">
        <f>'Warmteverliezen - Transmissie'!C73</f>
        <v>GLV plafond garage / VDP vloer</v>
      </c>
      <c r="B65" s="113">
        <f>'Warmteverliezen - Transmissie'!O73</f>
        <v>-62.104404567699845</v>
      </c>
    </row>
    <row r="66" spans="1:2" ht="12.75" hidden="1">
      <c r="A66" t="str">
        <f>'Warmteverliezen - Transmissie'!C74</f>
        <v>GLV plafond garage / VDP platdak</v>
      </c>
      <c r="B66" s="113">
        <f>'Warmteverliezen - Transmissie'!O74</f>
        <v>78.3727721247137</v>
      </c>
    </row>
    <row r="67" spans="1:2" ht="12.75" hidden="1">
      <c r="A67" t="str">
        <f>'Warmteverliezen - Transmissie'!C75</f>
        <v>Buitenmuur Gevelsteen</v>
      </c>
      <c r="B67" s="113">
        <f>'Warmteverliezen - Transmissie'!O75</f>
        <v>23.613805412903222</v>
      </c>
    </row>
    <row r="68" spans="1:2" ht="12.75" hidden="1">
      <c r="A68" t="str">
        <f>'Warmteverliezen - Transmissie'!C76</f>
        <v>Garagepoort</v>
      </c>
      <c r="B68" s="113">
        <f>'Warmteverliezen - Transmissie'!O76</f>
        <v>136.7045830941996</v>
      </c>
    </row>
    <row r="69" spans="1:2" ht="12.75" hidden="1">
      <c r="A69" t="str">
        <f>'Warmteverliezen - Transmissie'!C77</f>
        <v>Buitenmuur Gevelsteen</v>
      </c>
      <c r="B69" s="113">
        <f>'Warmteverliezen - Transmissie'!O77</f>
        <v>39.3563423548387</v>
      </c>
    </row>
    <row r="70" spans="1:2" ht="12.75" hidden="1">
      <c r="A70" t="str">
        <f>'Warmteverliezen - Transmissie'!C78</f>
        <v>Binnenmuur dragend (garage)</v>
      </c>
      <c r="B70" s="113">
        <f>'Warmteverliezen - Transmissie'!O78</f>
        <v>-67.22276785714284</v>
      </c>
    </row>
    <row r="71" spans="1:2" ht="12.75" hidden="1">
      <c r="A71" t="str">
        <f>'Warmteverliezen - Transmissie'!C79</f>
        <v>Binnenmuur dragend (garage)</v>
      </c>
      <c r="B71" s="113">
        <f>'Warmteverliezen - Transmissie'!O79</f>
        <v>13.25892857142857</v>
      </c>
    </row>
    <row r="72" spans="1:2" ht="12.75" hidden="1">
      <c r="A72" t="str">
        <f>'Warmteverliezen - Transmissie'!C80</f>
        <v>Binnendeur</v>
      </c>
      <c r="B72" s="113">
        <f>'Warmteverliezen - Transmissie'!O80</f>
        <v>-12.289655172413793</v>
      </c>
    </row>
    <row r="73" spans="1:2" ht="12.75" hidden="1">
      <c r="A73" t="str">
        <f>'Warmteverliezen - Transmissie'!C81</f>
        <v>Binnenmuur dragend (garage)</v>
      </c>
      <c r="B73" s="113">
        <f>'Warmteverliezen - Transmissie'!O81</f>
        <v>-198.48214285714283</v>
      </c>
    </row>
    <row r="74" spans="1:2" ht="12.75" hidden="1">
      <c r="A74" t="str">
        <f>'Warmteverliezen - Transmissie'!C82</f>
        <v>Buitenmuur Gevelsteen</v>
      </c>
      <c r="B74" s="113">
        <f>'Warmteverliezen - Transmissie'!O82</f>
        <v>110.19775859354836</v>
      </c>
    </row>
    <row r="75" spans="1:2" ht="12.75" hidden="1">
      <c r="A75" t="str">
        <f>'Warmteverliezen - Transmissie'!C83</f>
        <v>Buitenmuur Gevelsteen</v>
      </c>
      <c r="B75" s="113">
        <f>'Warmteverliezen - Transmissie'!O83</f>
        <v>-9.082232851116624</v>
      </c>
    </row>
    <row r="76" spans="1:2" ht="12.75" hidden="1">
      <c r="A76" t="str">
        <f>'Warmteverliezen - Transmissie'!C84</f>
        <v>Raam</v>
      </c>
      <c r="B76" s="113">
        <f>'Warmteverliezen - Transmissie'!O84</f>
        <v>58.29599999999999</v>
      </c>
    </row>
    <row r="77" spans="1:2" ht="12.75" hidden="1">
      <c r="A77" t="str">
        <f>'Warmteverliezen - Transmissie'!C86</f>
        <v>GLV plafond / VDP vloer</v>
      </c>
      <c r="B77" s="113">
        <f>'Warmteverliezen - Transmissie'!O86</f>
        <v>-96.76582472788166</v>
      </c>
    </row>
    <row r="78" spans="1:2" ht="12.75" hidden="1">
      <c r="A78" t="str">
        <f>'Warmteverliezen - Transmissie'!C87</f>
        <v>GLV plafond garage / VDP platdak</v>
      </c>
      <c r="B78" s="113">
        <f>'Warmteverliezen - Transmissie'!O87</f>
        <v>31.675662067071787</v>
      </c>
    </row>
    <row r="79" spans="1:2" ht="12.75" hidden="1">
      <c r="A79" t="str">
        <f>'Warmteverliezen - Transmissie'!C88</f>
        <v>VDP plafond / ZOL vloer</v>
      </c>
      <c r="B79" s="113">
        <f>'Warmteverliezen - Transmissie'!O88</f>
        <v>353.4011034482758</v>
      </c>
    </row>
    <row r="80" spans="1:2" ht="12.75" hidden="1">
      <c r="A80" t="str">
        <f>'Warmteverliezen - Transmissie'!C89</f>
        <v>Binnenmuur dragend</v>
      </c>
      <c r="B80" s="113">
        <f>'Warmteverliezen - Transmissie'!O89</f>
        <v>-46.834763948497844</v>
      </c>
    </row>
    <row r="81" spans="1:2" ht="12.75" hidden="1">
      <c r="A81" t="str">
        <f>'Warmteverliezen - Transmissie'!C90</f>
        <v>Binnenmuur dragend</v>
      </c>
      <c r="B81" s="113">
        <f>'Warmteverliezen - Transmissie'!O90</f>
        <v>6.952789699570815</v>
      </c>
    </row>
    <row r="82" spans="1:2" ht="12.75" hidden="1">
      <c r="A82" t="str">
        <f>'Warmteverliezen - Transmissie'!C91</f>
        <v>Binnendeur</v>
      </c>
      <c r="B82" s="113">
        <f>'Warmteverliezen - Transmissie'!O91</f>
        <v>-6.70344827586207</v>
      </c>
    </row>
    <row r="83" spans="1:2" ht="12.75" hidden="1">
      <c r="A83" t="str">
        <f>'Warmteverliezen - Transmissie'!C92</f>
        <v>Buitenmuur Gevelsteen</v>
      </c>
      <c r="B83" s="113">
        <f>'Warmteverliezen - Transmissie'!O92</f>
        <v>141.7837461757651</v>
      </c>
    </row>
    <row r="84" spans="1:2" ht="12.75" hidden="1">
      <c r="A84" t="str">
        <f>'Warmteverliezen - Transmissie'!C93</f>
        <v>Buitenmuur Gevelsteen</v>
      </c>
      <c r="B84" s="113">
        <f>'Warmteverliezen - Transmissie'!O93</f>
        <v>122.35785924421006</v>
      </c>
    </row>
    <row r="85" spans="1:2" ht="12.75" hidden="1">
      <c r="A85" t="str">
        <f>'Warmteverliezen - Transmissie'!C94</f>
        <v>Buitenmuur Gevelsteen</v>
      </c>
      <c r="B85" s="113">
        <f>'Warmteverliezen - Transmissie'!O94</f>
        <v>-36.32893140446649</v>
      </c>
    </row>
    <row r="86" spans="1:2" ht="12.75" hidden="1">
      <c r="A86" t="str">
        <f>'Warmteverliezen - Transmissie'!C95</f>
        <v>Raam</v>
      </c>
      <c r="B86" s="113">
        <f>'Warmteverliezen - Transmissie'!O95</f>
        <v>187.37999999999997</v>
      </c>
    </row>
    <row r="87" spans="1:2" ht="12.75" hidden="1">
      <c r="A87" t="str">
        <f>'Warmteverliezen - Transmissie'!C96</f>
        <v>Buitenmuur Crepi</v>
      </c>
      <c r="B87" s="113">
        <f>'Warmteverliezen - Transmissie'!O96</f>
        <v>5.613376999264384</v>
      </c>
    </row>
    <row r="88" spans="1:2" ht="12.75" hidden="1">
      <c r="A88" t="str">
        <f>'Warmteverliezen - Transmissie'!C97</f>
        <v>Binnenmuur dragend</v>
      </c>
      <c r="B88" s="113">
        <f>'Warmteverliezen - Transmissie'!O97</f>
        <v>0</v>
      </c>
    </row>
    <row r="89" spans="1:2" ht="12.75" hidden="1">
      <c r="A89" t="str">
        <f>'Warmteverliezen - Transmissie'!C98</f>
        <v>Binnenmuur dragend</v>
      </c>
      <c r="B89" s="113">
        <f>'Warmteverliezen - Transmissie'!O98</f>
        <v>0</v>
      </c>
    </row>
    <row r="90" spans="1:2" ht="12.75" hidden="1">
      <c r="A90" t="str">
        <f>'Warmteverliezen - Transmissie'!C99</f>
        <v>Binnendeur</v>
      </c>
      <c r="B90" s="113">
        <f>'Warmteverliezen - Transmissie'!O99</f>
        <v>0</v>
      </c>
    </row>
    <row r="91" spans="1:2" ht="12.75" hidden="1">
      <c r="A91" t="str">
        <f>'Warmteverliezen - Transmissie'!C101</f>
        <v>GLV plafond / VDP vloer</v>
      </c>
      <c r="B91" s="113">
        <f>'Warmteverliezen - Transmissie'!O101</f>
        <v>-72.93237789561817</v>
      </c>
    </row>
    <row r="92" spans="1:2" ht="12.75" hidden="1">
      <c r="A92" t="str">
        <f>'Warmteverliezen - Transmissie'!C102</f>
        <v>GLV plafond garage / VDP platdak</v>
      </c>
      <c r="B92" s="113">
        <f>'Warmteverliezen - Transmissie'!O102</f>
        <v>31.93690464082083</v>
      </c>
    </row>
    <row r="93" spans="1:2" ht="12.75" hidden="1">
      <c r="A93" t="str">
        <f>'Warmteverliezen - Transmissie'!C103</f>
        <v>VDP plafond / ZOL vloer</v>
      </c>
      <c r="B93" s="113">
        <f>'Warmteverliezen - Transmissie'!O103</f>
        <v>267.5538206896551</v>
      </c>
    </row>
    <row r="94" spans="1:2" ht="12.75" hidden="1">
      <c r="A94" t="str">
        <f>'Warmteverliezen - Transmissie'!C104</f>
        <v>Binnenmuur niet-dragend</v>
      </c>
      <c r="B94" s="113">
        <f>'Warmteverliezen - Transmissie'!O104</f>
        <v>-40.57377049180327</v>
      </c>
    </row>
    <row r="95" spans="1:2" ht="12.75" hidden="1">
      <c r="A95" t="str">
        <f>'Warmteverliezen - Transmissie'!C105</f>
        <v>Binnenmuur niet-dragend</v>
      </c>
      <c r="B95" s="113">
        <f>'Warmteverliezen - Transmissie'!O105</f>
        <v>8.852459016393441</v>
      </c>
    </row>
    <row r="96" spans="1:2" ht="12.75" hidden="1">
      <c r="A96" t="str">
        <f>'Warmteverliezen - Transmissie'!C106</f>
        <v>Binnendeur</v>
      </c>
      <c r="B96" s="113">
        <f>'Warmteverliezen - Transmissie'!O106</f>
        <v>-6.70344827586207</v>
      </c>
    </row>
    <row r="97" spans="1:2" ht="12.75" hidden="1">
      <c r="A97" t="str">
        <f>'Warmteverliezen - Transmissie'!C107</f>
        <v>Binnenmuur niet-dragend</v>
      </c>
      <c r="B97" s="113">
        <f>'Warmteverliezen - Transmissie'!O107</f>
        <v>0</v>
      </c>
    </row>
    <row r="98" spans="1:2" ht="12.75" hidden="1">
      <c r="A98" t="str">
        <f>'Warmteverliezen - Transmissie'!C108</f>
        <v>Binnenmuur niet-dragend</v>
      </c>
      <c r="B98" s="113">
        <f>'Warmteverliezen - Transmissie'!O108</f>
        <v>0</v>
      </c>
    </row>
    <row r="99" spans="1:2" ht="12.75" hidden="1">
      <c r="A99" t="str">
        <f>'Warmteverliezen - Transmissie'!C109</f>
        <v>Binnendeur</v>
      </c>
      <c r="B99" s="113">
        <f>'Warmteverliezen - Transmissie'!O109</f>
        <v>0</v>
      </c>
    </row>
    <row r="100" spans="1:2" ht="12.75" hidden="1">
      <c r="A100" t="str">
        <f>'Warmteverliezen - Transmissie'!C110</f>
        <v>Binnenmuur niet-dragend</v>
      </c>
      <c r="B100" s="113">
        <f>'Warmteverliezen - Transmissie'!O110</f>
        <v>0</v>
      </c>
    </row>
    <row r="101" spans="1:2" ht="12.75" hidden="1">
      <c r="A101" t="str">
        <f>'Warmteverliezen - Transmissie'!C111</f>
        <v>Buitenmuur Crepi</v>
      </c>
      <c r="B101" s="113">
        <f>'Warmteverliezen - Transmissie'!O111</f>
        <v>5.613376999264384</v>
      </c>
    </row>
    <row r="102" spans="1:2" ht="12.75" hidden="1">
      <c r="A102" t="str">
        <f>'Warmteverliezen - Transmissie'!C112</f>
        <v>Buitenmuur Gevelsteen</v>
      </c>
      <c r="B102" s="113">
        <f>'Warmteverliezen - Transmissie'!O112</f>
        <v>123.36699622766747</v>
      </c>
    </row>
    <row r="103" spans="1:2" ht="12.75" hidden="1">
      <c r="A103" t="str">
        <f>'Warmteverliezen - Transmissie'!C113</f>
        <v>Buitenmuur Gevelsteen</v>
      </c>
      <c r="B103" s="113">
        <f>'Warmteverliezen - Transmissie'!O113</f>
        <v>-36.32893140446649</v>
      </c>
    </row>
    <row r="104" spans="1:2" ht="12.75" hidden="1">
      <c r="A104" t="str">
        <f>'Warmteverliezen - Transmissie'!C114</f>
        <v>Raam</v>
      </c>
      <c r="B104" s="113">
        <f>'Warmteverliezen - Transmissie'!O114</f>
        <v>187.37999999999997</v>
      </c>
    </row>
    <row r="105" spans="1:2" ht="12.75" hidden="1">
      <c r="A105" t="str">
        <f>'Warmteverliezen - Transmissie'!C115</f>
        <v>Buitenmuur Gevelsteen</v>
      </c>
      <c r="B105" s="113">
        <f>'Warmteverliezen - Transmissie'!O115</f>
        <v>106.46395175475597</v>
      </c>
    </row>
    <row r="106" spans="1:2" ht="12.75" hidden="1">
      <c r="A106" t="str">
        <f>'Warmteverliezen - Transmissie'!C117</f>
        <v>GLV plafond garage / VDP vloer</v>
      </c>
      <c r="B106" s="113">
        <f>'Warmteverliezen - Transmissie'!O117</f>
        <v>283.98650452320925</v>
      </c>
    </row>
    <row r="107" spans="1:2" ht="12.75" hidden="1">
      <c r="A107" t="str">
        <f>'Warmteverliezen - Transmissie'!C118</f>
        <v>VDP plafond / ZOL vloer</v>
      </c>
      <c r="B107" s="113">
        <f>'Warmteverliezen - Transmissie'!O118</f>
        <v>234.77958620689654</v>
      </c>
    </row>
    <row r="108" spans="1:2" ht="12.75" hidden="1">
      <c r="A108" t="str">
        <f>'Warmteverliezen - Transmissie'!C119</f>
        <v>Buitenmuur Gevelsteen</v>
      </c>
      <c r="B108" s="113">
        <f>'Warmteverliezen - Transmissie'!O119</f>
        <v>126.89897566976839</v>
      </c>
    </row>
    <row r="109" spans="1:2" ht="12.75" hidden="1">
      <c r="A109" t="str">
        <f>'Warmteverliezen - Transmissie'!C120</f>
        <v>Buitenmuur Gevelsteen</v>
      </c>
      <c r="B109" s="113">
        <f>'Warmteverliezen - Transmissie'!O120</f>
        <v>-36.32893140446649</v>
      </c>
    </row>
    <row r="110" spans="1:2" ht="12.75" hidden="1">
      <c r="A110" t="str">
        <f>'Warmteverliezen - Transmissie'!C121</f>
        <v>Raam</v>
      </c>
      <c r="B110" s="113">
        <f>'Warmteverliezen - Transmissie'!O121</f>
        <v>187.37999999999997</v>
      </c>
    </row>
    <row r="111" spans="1:2" ht="12.75" hidden="1">
      <c r="A111" t="str">
        <f>'Warmteverliezen - Transmissie'!C122</f>
        <v>Binnenmuur niet-dragend</v>
      </c>
      <c r="B111" s="113">
        <f>'Warmteverliezen - Transmissie'!O122</f>
        <v>0</v>
      </c>
    </row>
    <row r="112" spans="1:2" ht="12.75" hidden="1">
      <c r="A112" t="str">
        <f>'Warmteverliezen - Transmissie'!C123</f>
        <v>Binnenmuur dragend</v>
      </c>
      <c r="B112" s="113">
        <f>'Warmteverliezen - Transmissie'!O123</f>
        <v>0</v>
      </c>
    </row>
    <row r="113" spans="1:2" ht="12.75" hidden="1">
      <c r="A113" t="str">
        <f>'Warmteverliezen - Transmissie'!C124</f>
        <v>Binnenmuur dragend</v>
      </c>
      <c r="B113" s="113">
        <f>'Warmteverliezen - Transmissie'!O124</f>
        <v>0</v>
      </c>
    </row>
    <row r="114" spans="1:2" ht="12.75" hidden="1">
      <c r="A114" t="str">
        <f>'Warmteverliezen - Transmissie'!C125</f>
        <v>Binnendeur</v>
      </c>
      <c r="B114" s="113">
        <f>'Warmteverliezen - Transmissie'!O125</f>
        <v>0</v>
      </c>
    </row>
    <row r="115" spans="1:2" ht="12.75" hidden="1">
      <c r="A115" t="str">
        <f>'Warmteverliezen - Transmissie'!C126</f>
        <v>Binnenmuur dragend</v>
      </c>
      <c r="B115" s="113">
        <f>'Warmteverliezen - Transmissie'!O126</f>
        <v>-31.866952789699567</v>
      </c>
    </row>
    <row r="116" spans="1:2" ht="12.75" hidden="1">
      <c r="A116" t="str">
        <f>'Warmteverliezen - Transmissie'!C127</f>
        <v>Binnenmuur dragend</v>
      </c>
      <c r="B116" s="113">
        <f>'Warmteverliezen - Transmissie'!O127</f>
        <v>6.952789699570815</v>
      </c>
    </row>
    <row r="117" spans="1:2" ht="12.75" hidden="1">
      <c r="A117" t="str">
        <f>'Warmteverliezen - Transmissie'!C128</f>
        <v>Binnendeur</v>
      </c>
      <c r="B117" s="113">
        <f>'Warmteverliezen - Transmissie'!O128</f>
        <v>-6.70344827586207</v>
      </c>
    </row>
    <row r="118" spans="1:2" ht="12.75" hidden="1">
      <c r="A118" t="str">
        <f>'Warmteverliezen - Transmissie'!C129</f>
        <v>Buitenmuur Gevelsteen</v>
      </c>
      <c r="B118" s="113">
        <f>'Warmteverliezen - Transmissie'!O129</f>
        <v>90.82232851116623</v>
      </c>
    </row>
    <row r="119" spans="1:2" ht="12.75" hidden="1">
      <c r="A119" t="str">
        <f>'Warmteverliezen - Transmissie'!C131</f>
        <v>GLV plafond / VDP vloer</v>
      </c>
      <c r="B119" s="113">
        <f>'Warmteverliezen - Transmissie'!O131</f>
        <v>102.71001953670107</v>
      </c>
    </row>
    <row r="120" spans="1:2" ht="12.75" hidden="1">
      <c r="A120" t="str">
        <f>'Warmteverliezen - Transmissie'!C132</f>
        <v>GLV plafond / VDP vloer</v>
      </c>
      <c r="B120" s="113">
        <f>'Warmteverliezen - Transmissie'!O132</f>
        <v>47.32137873290538</v>
      </c>
    </row>
    <row r="121" spans="1:2" ht="12.75" hidden="1">
      <c r="A121" t="str">
        <f>'Warmteverliezen - Transmissie'!C133</f>
        <v>VDP plafond / ZOL vloer</v>
      </c>
      <c r="B121" s="113">
        <f>'Warmteverliezen - Transmissie'!O133</f>
        <v>336.0662068965517</v>
      </c>
    </row>
    <row r="122" spans="1:2" ht="12.75" hidden="1">
      <c r="A122" t="str">
        <f>'Warmteverliezen - Transmissie'!C134</f>
        <v>VDP plafond / ZOL vloer</v>
      </c>
      <c r="B122" s="113">
        <f>'Warmteverliezen - Transmissie'!O134</f>
        <v>59.33020689655173</v>
      </c>
    </row>
    <row r="123" spans="1:2" ht="12.75" hidden="1">
      <c r="A123" t="str">
        <f>'Warmteverliezen - Transmissie'!C135</f>
        <v>Buitenmuur Gevelsteen</v>
      </c>
      <c r="B123" s="113">
        <f>'Warmteverliezen - Transmissie'!O135</f>
        <v>111.00506818031428</v>
      </c>
    </row>
    <row r="124" spans="1:2" ht="12.75" hidden="1">
      <c r="A124" t="str">
        <f>'Warmteverliezen - Transmissie'!C136</f>
        <v>Buitenmuur Gevelsteen</v>
      </c>
      <c r="B124" s="113">
        <f>'Warmteverliezen - Transmissie'!O136</f>
        <v>72.70831965810586</v>
      </c>
    </row>
    <row r="125" spans="1:2" ht="12.75" hidden="1">
      <c r="A125" t="str">
        <f>'Warmteverliezen - Transmissie'!C137</f>
        <v>Buitenmuur Crepi</v>
      </c>
      <c r="B125" s="113">
        <f>'Warmteverliezen - Transmissie'!O137</f>
        <v>22.22897291708696</v>
      </c>
    </row>
    <row r="126" spans="1:2" ht="12.75" hidden="1">
      <c r="A126" t="str">
        <f>'Warmteverliezen - Transmissie'!C138</f>
        <v>Buitenmuur Crepi</v>
      </c>
      <c r="B126" s="113">
        <f>'Warmteverliezen - Transmissie'!O138</f>
        <v>-6.224112416784348</v>
      </c>
    </row>
    <row r="127" spans="1:2" ht="12.75" hidden="1">
      <c r="A127" t="str">
        <f>'Warmteverliezen - Transmissie'!C139</f>
        <v>Raam</v>
      </c>
      <c r="B127" s="113">
        <f>'Warmteverliezen - Transmissie'!O139</f>
        <v>72.1413</v>
      </c>
    </row>
    <row r="128" spans="1:2" ht="12.75" hidden="1">
      <c r="A128" t="str">
        <f>'Warmteverliezen - Transmissie'!C140</f>
        <v>Binnenmuur dragend</v>
      </c>
      <c r="B128" s="113">
        <f>'Warmteverliezen - Transmissie'!O140</f>
        <v>46.834763948497844</v>
      </c>
    </row>
    <row r="129" spans="1:2" ht="12.75" hidden="1">
      <c r="A129" t="str">
        <f>'Warmteverliezen - Transmissie'!C141</f>
        <v>Binnenmuur dragend</v>
      </c>
      <c r="B129" s="113">
        <f>'Warmteverliezen - Transmissie'!O141</f>
        <v>-6.952789699570815</v>
      </c>
    </row>
    <row r="130" spans="1:2" ht="12.75" hidden="1">
      <c r="A130" t="str">
        <f>'Warmteverliezen - Transmissie'!C142</f>
        <v>Binnendeur</v>
      </c>
      <c r="B130" s="113">
        <f>'Warmteverliezen - Transmissie'!O142</f>
        <v>6.70344827586207</v>
      </c>
    </row>
    <row r="131" spans="1:2" ht="12.75" hidden="1">
      <c r="A131" t="str">
        <f>'Warmteverliezen - Transmissie'!C143</f>
        <v>Binnenmuur dragend</v>
      </c>
      <c r="B131" s="113">
        <f>'Warmteverliezen - Transmissie'!O143</f>
        <v>16.99570815450644</v>
      </c>
    </row>
    <row r="132" spans="1:2" ht="12.75" hidden="1">
      <c r="A132" t="str">
        <f>'Warmteverliezen - Transmissie'!C144</f>
        <v>Binnenmuur dragend</v>
      </c>
      <c r="B132" s="113">
        <f>'Warmteverliezen - Transmissie'!O144</f>
        <v>48.283261802575105</v>
      </c>
    </row>
    <row r="133" spans="1:2" ht="12.75" hidden="1">
      <c r="A133" t="str">
        <f>'Warmteverliezen - Transmissie'!C146</f>
        <v>GLV plafond / VDP vloer</v>
      </c>
      <c r="B133" s="113">
        <f>'Warmteverliezen - Transmissie'!O146</f>
        <v>8.441110801004744</v>
      </c>
    </row>
    <row r="134" spans="1:2" ht="12.75" hidden="1">
      <c r="A134" t="str">
        <f>'Warmteverliezen - Transmissie'!C147</f>
        <v>VDP plafond / ZOL vloer</v>
      </c>
      <c r="B134" s="113">
        <f>'Warmteverliezen - Transmissie'!O147</f>
        <v>111.24413793103447</v>
      </c>
    </row>
    <row r="135" spans="1:2" ht="12.75" hidden="1">
      <c r="A135" t="str">
        <f>'Warmteverliezen - Transmissie'!C148</f>
        <v>Binnenmuur dragend</v>
      </c>
      <c r="B135" s="113">
        <f>'Warmteverliezen - Transmissie'!O148</f>
        <v>31.866952789699567</v>
      </c>
    </row>
    <row r="136" spans="1:2" ht="12.75" hidden="1">
      <c r="A136" t="str">
        <f>'Warmteverliezen - Transmissie'!C149</f>
        <v>Binnenmuur dragend</v>
      </c>
      <c r="B136" s="113">
        <f>'Warmteverliezen - Transmissie'!O149</f>
        <v>-6.952789699570815</v>
      </c>
    </row>
    <row r="137" spans="1:2" ht="12.75" hidden="1">
      <c r="A137" t="str">
        <f>'Warmteverliezen - Transmissie'!C150</f>
        <v>Binnendeur</v>
      </c>
      <c r="B137" s="113">
        <f>'Warmteverliezen - Transmissie'!O150</f>
        <v>6.70344827586207</v>
      </c>
    </row>
    <row r="138" spans="1:2" ht="12.75" hidden="1">
      <c r="A138" t="str">
        <f>'Warmteverliezen - Transmissie'!C151</f>
        <v>Binnenmuur niet-dragend</v>
      </c>
      <c r="B138" s="113">
        <f>'Warmteverliezen - Transmissie'!O151</f>
        <v>15.983606557377048</v>
      </c>
    </row>
    <row r="139" spans="1:2" ht="12.75" hidden="1">
      <c r="A139" t="str">
        <f>'Warmteverliezen - Transmissie'!C152</f>
        <v>Binnenmuur dragend</v>
      </c>
      <c r="B139" s="113">
        <f>'Warmteverliezen - Transmissie'!O152</f>
        <v>31.866952789699567</v>
      </c>
    </row>
    <row r="140" spans="1:2" ht="12.75" hidden="1">
      <c r="A140" t="str">
        <f>'Warmteverliezen - Transmissie'!C153</f>
        <v>Binnenmuur dragend</v>
      </c>
      <c r="B140" s="113">
        <f>'Warmteverliezen - Transmissie'!O153</f>
        <v>-6.952789699570815</v>
      </c>
    </row>
    <row r="141" spans="1:2" ht="12.75" hidden="1">
      <c r="A141" t="str">
        <f>'Warmteverliezen - Transmissie'!C154</f>
        <v>Binnendeur</v>
      </c>
      <c r="B141" s="113">
        <f>'Warmteverliezen - Transmissie'!O154</f>
        <v>6.70344827586207</v>
      </c>
    </row>
    <row r="142" spans="1:2" ht="12.75" hidden="1">
      <c r="A142" t="str">
        <f>'Warmteverliezen - Transmissie'!C155</f>
        <v>Buitenmuur Crepi</v>
      </c>
      <c r="B142" s="113">
        <f>'Warmteverliezen - Transmissie'!O155</f>
        <v>16.054258217896137</v>
      </c>
    </row>
    <row r="143" spans="1:2" ht="12.75" hidden="1">
      <c r="A143" t="str">
        <f>'Warmteverliezen - Transmissie'!C156</f>
        <v>Buitenmuur Crepi</v>
      </c>
      <c r="B143" s="113">
        <f>'Warmteverliezen - Transmissie'!O156</f>
        <v>-4.495192301010918</v>
      </c>
    </row>
    <row r="144" spans="1:2" ht="12.75" hidden="1">
      <c r="A144" t="str">
        <f>'Warmteverliezen - Transmissie'!C157</f>
        <v>Raam</v>
      </c>
      <c r="B144" s="113">
        <f>'Warmteverliezen - Transmissie'!O157</f>
        <v>52.10204999999999</v>
      </c>
    </row>
    <row r="145" spans="1:2" ht="12.75" hidden="1">
      <c r="A145" t="str">
        <f>'Warmteverliezen - Transmissie'!C159</f>
        <v>GLV plafond / VDP vloer</v>
      </c>
      <c r="B145" s="113">
        <f>'Warmteverliezen - Transmissie'!O159</f>
        <v>0</v>
      </c>
    </row>
    <row r="146" spans="1:2" ht="12.75" hidden="1">
      <c r="A146" t="str">
        <f>'Warmteverliezen - Transmissie'!C160</f>
        <v>VDP plafond / ZOL vloer</v>
      </c>
      <c r="B146" s="113">
        <f>'Warmteverliezen - Transmissie'!O160</f>
        <v>6.8068965517241375</v>
      </c>
    </row>
    <row r="147" spans="1:2" ht="12.75" hidden="1">
      <c r="A147" t="str">
        <f>'Warmteverliezen - Transmissie'!C161</f>
        <v>Buitenmuur Gevelsteen</v>
      </c>
      <c r="B147" s="113">
        <f>'Warmteverliezen - Transmissie'!O161</f>
        <v>21.191876652605455</v>
      </c>
    </row>
    <row r="148" spans="1:2" ht="12.75" hidden="1">
      <c r="A148" t="str">
        <f>'Warmteverliezen - Transmissie'!C162</f>
        <v>Binnenmuur niet-dragend</v>
      </c>
      <c r="B148" s="113">
        <f>'Warmteverliezen - Transmissie'!O162</f>
        <v>-35.86065573770492</v>
      </c>
    </row>
    <row r="149" spans="1:2" ht="12.75" hidden="1">
      <c r="A149" t="str">
        <f>'Warmteverliezen - Transmissie'!C163</f>
        <v>Binnenmuur niet-dragend</v>
      </c>
      <c r="B149" s="113">
        <f>'Warmteverliezen - Transmissie'!O163</f>
        <v>-18.442622950819672</v>
      </c>
    </row>
    <row r="150" spans="1:2" ht="12.75" hidden="1">
      <c r="A150" t="str">
        <f>'Warmteverliezen - Transmissie'!C164</f>
        <v>Binnenmuur dragend</v>
      </c>
      <c r="B150" s="113">
        <f>'Warmteverliezen - Transmissie'!O164</f>
        <v>-11.266094420600856</v>
      </c>
    </row>
    <row r="151" spans="1:2" ht="12.75" hidden="1">
      <c r="A151" t="str">
        <f>'Warmteverliezen - Transmissie'!C165</f>
        <v>Binnenmuur dragend</v>
      </c>
      <c r="B151" s="113">
        <f>'Warmteverliezen - Transmissie'!O165</f>
        <v>4.63519313304721</v>
      </c>
    </row>
    <row r="152" spans="1:2" ht="12.75" hidden="1">
      <c r="A152" t="str">
        <f>'Warmteverliezen - Transmissie'!C166</f>
        <v>Binnendeur</v>
      </c>
      <c r="B152" s="113">
        <f>'Warmteverliezen - Transmissie'!O166</f>
        <v>-4.468965517241379</v>
      </c>
    </row>
    <row r="153" spans="1:2" ht="12.75" hidden="1">
      <c r="A153" t="str">
        <f>'Warmteverliezen - Transmissie'!C168</f>
        <v>GLV plafond / VDP vloer</v>
      </c>
      <c r="B153" s="113">
        <f>'Warmteverliezen - Transmissie'!O168</f>
        <v>-97.76341054981859</v>
      </c>
    </row>
    <row r="154" spans="1:2" ht="12.75" hidden="1">
      <c r="A154" t="str">
        <f>'Warmteverliezen - Transmissie'!C169</f>
        <v>GLV plafond / VDP vloer</v>
      </c>
      <c r="B154" s="113">
        <f>'Warmteverliezen - Transmissie'!O169</f>
        <v>-8.18531956461066</v>
      </c>
    </row>
    <row r="155" spans="1:2" ht="12.75" hidden="1">
      <c r="A155" t="str">
        <f>'Warmteverliezen - Transmissie'!C170</f>
        <v>GLV plafond / VDP vloer</v>
      </c>
      <c r="B155" s="113">
        <f>'Warmteverliezen - Transmissie'!O170</f>
        <v>72.11738766396876</v>
      </c>
    </row>
    <row r="156" spans="1:2" ht="12.75" hidden="1">
      <c r="A156" t="str">
        <f>'Warmteverliezen - Transmissie'!C171</f>
        <v>VDP plafond / ZOL vloer</v>
      </c>
      <c r="B156" s="113">
        <f>'Warmteverliezen - Transmissie'!O171</f>
        <v>559.7084137931034</v>
      </c>
    </row>
    <row r="157" spans="1:2" ht="12.75" hidden="1">
      <c r="A157" t="str">
        <f>'Warmteverliezen - Transmissie'!C172</f>
        <v>Buitenmuur Gevelsteen</v>
      </c>
      <c r="B157" s="113">
        <f>'Warmteverliezen - Transmissie'!O172</f>
        <v>32.79695196236558</v>
      </c>
    </row>
    <row r="158" spans="1:2" ht="12.75" hidden="1">
      <c r="A158" t="str">
        <f>'Warmteverliezen - Transmissie'!C173</f>
        <v>Buitenmuur Crepi</v>
      </c>
      <c r="B158" s="113">
        <f>'Warmteverliezen - Transmissie'!O173</f>
        <v>26.94420959646904</v>
      </c>
    </row>
    <row r="159" spans="1:2" ht="12.75" hidden="1">
      <c r="A159" t="str">
        <f>'Warmteverliezen - Transmissie'!C174</f>
        <v>Raam</v>
      </c>
      <c r="B159" s="113">
        <f>'Warmteverliezen - Transmissie'!O174</f>
        <v>156.14999999999998</v>
      </c>
    </row>
    <row r="160" spans="1:2" ht="12.75" hidden="1">
      <c r="A160" t="str">
        <f>'Warmteverliezen - Transmissie'!C175</f>
        <v>Binnenmuur dragend</v>
      </c>
      <c r="B160" s="113">
        <f>'Warmteverliezen - Transmissie'!O175</f>
        <v>11.266094420600856</v>
      </c>
    </row>
    <row r="161" spans="1:2" ht="12.75" hidden="1">
      <c r="A161" t="str">
        <f>'Warmteverliezen - Transmissie'!C176</f>
        <v>Binnenmuur dragend</v>
      </c>
      <c r="B161" s="113">
        <f>'Warmteverliezen - Transmissie'!O176</f>
        <v>-4.63519313304721</v>
      </c>
    </row>
    <row r="162" spans="1:2" ht="12.75" hidden="1">
      <c r="A162" t="str">
        <f>'Warmteverliezen - Transmissie'!C177</f>
        <v>Binnendeur</v>
      </c>
      <c r="B162" s="113">
        <f>'Warmteverliezen - Transmissie'!O177</f>
        <v>4.468965517241379</v>
      </c>
    </row>
    <row r="163" spans="1:2" ht="12.75" hidden="1">
      <c r="A163" t="str">
        <f>'Warmteverliezen - Transmissie'!C178</f>
        <v>Binnenmuur dragend</v>
      </c>
      <c r="B163" s="113">
        <f>'Warmteverliezen - Transmissie'!O178</f>
        <v>-16.99570815450644</v>
      </c>
    </row>
    <row r="164" spans="1:2" ht="12.75" hidden="1">
      <c r="A164" t="str">
        <f>'Warmteverliezen - Transmissie'!C179</f>
        <v>Binnenmuur dragend</v>
      </c>
      <c r="B164" s="113">
        <f>'Warmteverliezen - Transmissie'!O179</f>
        <v>0</v>
      </c>
    </row>
    <row r="165" spans="1:2" ht="12.75" hidden="1">
      <c r="A165" t="str">
        <f>'Warmteverliezen - Transmissie'!C180</f>
        <v>Binnenmuur dragend</v>
      </c>
      <c r="B165" s="113">
        <f>'Warmteverliezen - Transmissie'!O180</f>
        <v>0</v>
      </c>
    </row>
    <row r="166" spans="1:2" ht="12.75" hidden="1">
      <c r="A166" t="str">
        <f>'Warmteverliezen - Transmissie'!C181</f>
        <v>Binnendeur</v>
      </c>
      <c r="B166" s="113">
        <f>'Warmteverliezen - Transmissie'!O181</f>
        <v>0</v>
      </c>
    </row>
    <row r="167" spans="1:2" ht="12.75" hidden="1">
      <c r="A167" t="str">
        <f>'Warmteverliezen - Transmissie'!C182</f>
        <v>Raam</v>
      </c>
      <c r="B167" s="113">
        <f>'Warmteverliezen - Transmissie'!O182</f>
        <v>637.6125</v>
      </c>
    </row>
    <row r="168" spans="1:2" ht="12.75" hidden="1">
      <c r="A168" t="str">
        <f>'Warmteverliezen - Transmissie'!C183</f>
        <v>Binnenmuur dragend</v>
      </c>
      <c r="B168" s="113">
        <f>'Warmteverliezen - Transmissie'!O183</f>
        <v>0</v>
      </c>
    </row>
    <row r="169" spans="1:2" ht="12.75" hidden="1">
      <c r="A169" t="str">
        <f>'Warmteverliezen - Transmissie'!C184</f>
        <v>Binnenmuur niet-dragend</v>
      </c>
      <c r="B169" s="113">
        <f>'Warmteverliezen - Transmissie'!O184</f>
        <v>0</v>
      </c>
    </row>
    <row r="170" spans="1:2" ht="12.75" hidden="1">
      <c r="A170" t="str">
        <f>'Warmteverliezen - Transmissie'!C185</f>
        <v>Binnenmuur niet-dragend</v>
      </c>
      <c r="B170" s="113">
        <f>'Warmteverliezen - Transmissie'!O185</f>
        <v>0</v>
      </c>
    </row>
    <row r="171" spans="1:2" ht="12.75" hidden="1">
      <c r="A171" t="str">
        <f>'Warmteverliezen - Transmissie'!C186</f>
        <v>Binnendeur</v>
      </c>
      <c r="B171" s="113">
        <f>'Warmteverliezen - Transmissie'!O186</f>
        <v>0</v>
      </c>
    </row>
    <row r="172" spans="1:2" ht="12.75" hidden="1">
      <c r="A172" t="str">
        <f>'Warmteverliezen - Transmissie'!C187</f>
        <v>Binnenmuur niet-dragend</v>
      </c>
      <c r="B172" s="113">
        <f>'Warmteverliezen - Transmissie'!O187</f>
        <v>-15.983606557377048</v>
      </c>
    </row>
    <row r="173" spans="1:2" ht="12.75" hidden="1">
      <c r="A173" t="str">
        <f>'Warmteverliezen - Transmissie'!C188</f>
        <v>Binnenmuur dragend</v>
      </c>
      <c r="B173" s="113">
        <f>'Warmteverliezen - Transmissie'!O188</f>
        <v>0</v>
      </c>
    </row>
    <row r="174" spans="1:2" ht="12.75" hidden="1">
      <c r="A174" t="str">
        <f>'Warmteverliezen - Transmissie'!C189</f>
        <v>Binnenmuur dragend</v>
      </c>
      <c r="B174" s="113">
        <f>'Warmteverliezen - Transmissie'!O189</f>
        <v>0</v>
      </c>
    </row>
    <row r="175" spans="1:2" ht="12.75" hidden="1">
      <c r="A175" t="str">
        <f>'Warmteverliezen - Transmissie'!C190</f>
        <v>Binnendeur</v>
      </c>
      <c r="B175" s="113">
        <f>'Warmteverliezen - Transmissie'!O190</f>
        <v>0</v>
      </c>
    </row>
    <row r="176" spans="1:2" ht="12.75" hidden="1">
      <c r="A176" t="str">
        <f>'Warmteverliezen - Transmissie'!C191</f>
        <v>Binnenmuur dragend</v>
      </c>
      <c r="B176" s="113">
        <f>'Warmteverliezen - Transmissie'!O191</f>
        <v>0</v>
      </c>
    </row>
    <row r="177" spans="1:2" ht="12.75" hidden="1">
      <c r="A177" t="str">
        <f>'Warmteverliezen - Transmissie'!C193</f>
        <v>VDP plafond / ZOL vloer</v>
      </c>
      <c r="B177" s="113">
        <f>'Warmteverliezen - Transmissie'!O193</f>
        <v>-353.4011034482758</v>
      </c>
    </row>
    <row r="178" spans="1:2" ht="12.75" hidden="1">
      <c r="A178" t="str">
        <f>'Warmteverliezen - Transmissie'!C194</f>
        <v>VDP plafond / ZOL vloer</v>
      </c>
      <c r="B178" s="113">
        <f>'Warmteverliezen - Transmissie'!O194</f>
        <v>-280.23409655172406</v>
      </c>
    </row>
    <row r="179" spans="1:2" ht="12.75" hidden="1">
      <c r="A179" t="str">
        <f>'Warmteverliezen - Transmissie'!C195</f>
        <v>VDP plafond / ZOL vloer</v>
      </c>
      <c r="B179" s="113">
        <f>'Warmteverliezen - Transmissie'!O195</f>
        <v>-228.24496551724135</v>
      </c>
    </row>
    <row r="180" spans="1:2" ht="12.75" hidden="1">
      <c r="A180" t="str">
        <f>'Warmteverliezen - Transmissie'!C196</f>
        <v>VDP plafond / ZOL vloer</v>
      </c>
      <c r="B180" s="113">
        <f>'Warmteverliezen - Transmissie'!O196</f>
        <v>-336.0662068965517</v>
      </c>
    </row>
    <row r="181" spans="1:2" ht="12.75" hidden="1">
      <c r="A181" t="str">
        <f>'Warmteverliezen - Transmissie'!C197</f>
        <v>VDP plafond / ZOL vloer</v>
      </c>
      <c r="B181" s="113">
        <f>'Warmteverliezen - Transmissie'!O197</f>
        <v>-55.6791172413793</v>
      </c>
    </row>
    <row r="182" spans="1:2" ht="12.75" hidden="1">
      <c r="A182" t="str">
        <f>'Warmteverliezen - Transmissie'!C198</f>
        <v>VDP plafond / ZOL vloer</v>
      </c>
      <c r="B182" s="113">
        <f>'Warmteverliezen - Transmissie'!O198</f>
        <v>-6.8068965517241375</v>
      </c>
    </row>
    <row r="183" spans="1:2" ht="12.75" hidden="1">
      <c r="A183" t="str">
        <f>'Warmteverliezen - Transmissie'!C199</f>
        <v>VDP plafond / ZOL vloer</v>
      </c>
      <c r="B183" s="113">
        <f>'Warmteverliezen - Transmissie'!O199</f>
        <v>-111.24413793103447</v>
      </c>
    </row>
    <row r="184" spans="1:2" ht="12.75" hidden="1">
      <c r="A184" t="str">
        <f>'Warmteverliezen - Transmissie'!C200</f>
        <v>VDP plafond / ZOL vloer</v>
      </c>
      <c r="B184" s="113">
        <f>'Warmteverliezen - Transmissie'!O200</f>
        <v>-559.7084137931034</v>
      </c>
    </row>
    <row r="185" spans="1:2" ht="12.75" hidden="1">
      <c r="A185" t="str">
        <f>'Warmteverliezen - Transmissie'!C201</f>
        <v>Zadeldak noord</v>
      </c>
      <c r="B185" s="113">
        <f>'Warmteverliezen - Transmissie'!O201</f>
        <v>444.34285714285716</v>
      </c>
    </row>
    <row r="186" spans="1:2" ht="12.75" hidden="1">
      <c r="A186" t="str">
        <f>'Warmteverliezen - Transmissie'!C202</f>
        <v>Puntgevel oost</v>
      </c>
      <c r="B186" s="113">
        <f>'Warmteverliezen - Transmissie'!O202</f>
        <v>167.16719242480337</v>
      </c>
    </row>
    <row r="187" spans="1:2" ht="12.75" hidden="1">
      <c r="A187" t="str">
        <f>'Warmteverliezen - Transmissie'!C203</f>
        <v>Zadeldak zuid</v>
      </c>
      <c r="B187" s="113">
        <f>'Warmteverliezen - Transmissie'!O203</f>
        <v>444.34285714285716</v>
      </c>
    </row>
    <row r="188" spans="1:2" ht="12.75" hidden="1">
      <c r="A188" t="str">
        <f>'Warmteverliezen - Transmissie'!C204</f>
        <v>Puntgevel west</v>
      </c>
      <c r="B188" s="113">
        <f>'Warmteverliezen - Transmissie'!O204</f>
        <v>167.16719242480337</v>
      </c>
    </row>
    <row r="189" ht="12.75">
      <c r="B189" s="113"/>
    </row>
    <row r="190" ht="12.75">
      <c r="B190" s="113"/>
    </row>
    <row r="191" ht="12.75">
      <c r="B191" s="113"/>
    </row>
    <row r="192" ht="12.75">
      <c r="B192" s="113"/>
    </row>
    <row r="193" spans="1:5" ht="12.75">
      <c r="A193" t="s">
        <v>75</v>
      </c>
      <c r="B193" s="113">
        <f>SUMIF(A4:A188,A193,B4:B188)</f>
        <v>-1.7763568394002505E-15</v>
      </c>
      <c r="D193" t="s">
        <v>226</v>
      </c>
      <c r="E193" s="113">
        <f>B204+B205</f>
        <v>324.5179419779311</v>
      </c>
    </row>
    <row r="194" spans="1:5" ht="12.75">
      <c r="A194" t="s">
        <v>70</v>
      </c>
      <c r="B194" s="113">
        <f>SUMIF(A5:A189,A194,B5:B189)</f>
        <v>73.19742489270388</v>
      </c>
      <c r="D194" t="s">
        <v>276</v>
      </c>
      <c r="E194" s="113">
        <f>B198+B199</f>
        <v>1534.6792051340483</v>
      </c>
    </row>
    <row r="195" spans="1:5" ht="12.75">
      <c r="A195" t="s">
        <v>72</v>
      </c>
      <c r="B195" s="113">
        <f aca="true" t="shared" si="0" ref="B195:B211">SUMIF(A6:A190,A195,B6:B190)</f>
        <v>4.631249999999966</v>
      </c>
      <c r="D195" t="s">
        <v>277</v>
      </c>
      <c r="E195" s="113">
        <f>B208+B200+B197</f>
        <v>4001.6008033644703</v>
      </c>
    </row>
    <row r="196" spans="1:5" ht="12.75">
      <c r="A196" t="s">
        <v>71</v>
      </c>
      <c r="B196" s="113">
        <f t="shared" si="0"/>
        <v>-86.02459016393442</v>
      </c>
      <c r="D196" t="s">
        <v>41</v>
      </c>
      <c r="E196" s="113">
        <f>B206+B207+B210+B211</f>
        <v>1223.020099135321</v>
      </c>
    </row>
    <row r="197" spans="1:5" ht="12.75">
      <c r="A197" t="s">
        <v>74</v>
      </c>
      <c r="B197" s="113">
        <f t="shared" si="0"/>
        <v>117.28581027027029</v>
      </c>
      <c r="D197" t="s">
        <v>278</v>
      </c>
      <c r="E197" s="113">
        <f>'Warmteverliezen - Totaal'!O23</f>
        <v>3321.78742</v>
      </c>
    </row>
    <row r="198" spans="1:2" ht="12.75">
      <c r="A198" t="s">
        <v>69</v>
      </c>
      <c r="B198" s="113">
        <f t="shared" si="0"/>
        <v>107.31279922060364</v>
      </c>
    </row>
    <row r="199" spans="1:2" ht="12.75">
      <c r="A199" t="s">
        <v>68</v>
      </c>
      <c r="B199" s="113">
        <f t="shared" si="0"/>
        <v>1427.3664059134446</v>
      </c>
    </row>
    <row r="200" spans="1:2" ht="12.75">
      <c r="A200" t="s">
        <v>76</v>
      </c>
      <c r="B200" s="113">
        <f t="shared" si="0"/>
        <v>136.7045830941996</v>
      </c>
    </row>
    <row r="201" spans="1:2" ht="12.75">
      <c r="A201" t="s">
        <v>65</v>
      </c>
      <c r="B201" s="113">
        <f t="shared" si="0"/>
        <v>-247.4386687133686</v>
      </c>
    </row>
    <row r="202" spans="1:2" ht="12.75">
      <c r="A202" t="s">
        <v>67</v>
      </c>
      <c r="B202" s="113">
        <f t="shared" si="0"/>
        <v>141.98533883260632</v>
      </c>
    </row>
    <row r="203" spans="1:2" ht="12.75">
      <c r="A203" t="s">
        <v>66</v>
      </c>
      <c r="B203" s="113">
        <f t="shared" si="0"/>
        <v>-76.78362746551983</v>
      </c>
    </row>
    <row r="204" spans="1:2" ht="12.75">
      <c r="A204" t="s">
        <v>64</v>
      </c>
      <c r="B204" s="113">
        <f t="shared" si="0"/>
        <v>252.67880590721035</v>
      </c>
    </row>
    <row r="205" spans="1:2" ht="12.75">
      <c r="A205" t="s">
        <v>63</v>
      </c>
      <c r="B205" s="113">
        <f t="shared" si="0"/>
        <v>71.83913607072077</v>
      </c>
    </row>
    <row r="206" spans="1:2" ht="12.75">
      <c r="A206" t="s">
        <v>79</v>
      </c>
      <c r="B206" s="113">
        <f t="shared" si="0"/>
        <v>167.16719242480337</v>
      </c>
    </row>
    <row r="207" spans="1:2" ht="12.75">
      <c r="A207" t="s">
        <v>80</v>
      </c>
      <c r="B207" s="113">
        <f t="shared" si="0"/>
        <v>167.16719242480337</v>
      </c>
    </row>
    <row r="208" spans="1:2" ht="12.75">
      <c r="A208" t="s">
        <v>73</v>
      </c>
      <c r="B208" s="113">
        <f t="shared" si="0"/>
        <v>3747.6104100000002</v>
      </c>
    </row>
    <row r="209" spans="1:2" ht="12.75">
      <c r="A209" t="s">
        <v>62</v>
      </c>
      <c r="B209" s="113">
        <f t="shared" si="0"/>
        <v>-2.4945655172414263</v>
      </c>
    </row>
    <row r="210" spans="1:2" ht="12.75">
      <c r="A210" t="s">
        <v>77</v>
      </c>
      <c r="B210" s="113">
        <f t="shared" si="0"/>
        <v>444.34285714285716</v>
      </c>
    </row>
    <row r="211" spans="1:2" ht="12.75">
      <c r="A211" t="s">
        <v>78</v>
      </c>
      <c r="B211" s="113">
        <f t="shared" si="0"/>
        <v>444.34285714285716</v>
      </c>
    </row>
    <row r="212" ht="12.75">
      <c r="B212" s="113"/>
    </row>
    <row r="213" ht="12.75">
      <c r="B213" s="113"/>
    </row>
    <row r="214" ht="12.75">
      <c r="B214" s="113"/>
    </row>
    <row r="215" ht="12.75">
      <c r="B215" s="113"/>
    </row>
    <row r="216" ht="12.75">
      <c r="B216" s="113"/>
    </row>
    <row r="217" ht="12.75">
      <c r="B217" s="113"/>
    </row>
    <row r="218" ht="12.75">
      <c r="B218" s="113"/>
    </row>
    <row r="219" ht="12.75">
      <c r="B219" s="113"/>
    </row>
    <row r="220" ht="12.75">
      <c r="B220" s="113"/>
    </row>
    <row r="221" ht="12.75">
      <c r="B221" s="113"/>
    </row>
    <row r="222" ht="12.75">
      <c r="B222" s="113"/>
    </row>
    <row r="223" ht="12.75">
      <c r="B223" s="113"/>
    </row>
    <row r="224" ht="12.75">
      <c r="B224" s="113"/>
    </row>
    <row r="225" ht="12.75">
      <c r="B225" s="113"/>
    </row>
    <row r="226" ht="12.75">
      <c r="B226" s="113"/>
    </row>
    <row r="227" ht="12.75">
      <c r="B227" s="113"/>
    </row>
    <row r="228" ht="12.75">
      <c r="B228" s="113"/>
    </row>
    <row r="229" ht="12.75">
      <c r="B229" s="113"/>
    </row>
    <row r="230" ht="12.75">
      <c r="B230" s="113"/>
    </row>
    <row r="231" ht="12.75">
      <c r="B231" s="113"/>
    </row>
    <row r="232" ht="12.75">
      <c r="B232" s="113"/>
    </row>
    <row r="233" ht="12.75">
      <c r="B233" s="113"/>
    </row>
    <row r="234" ht="12.75">
      <c r="B234" s="113"/>
    </row>
    <row r="235" ht="12.75">
      <c r="B235" s="113"/>
    </row>
    <row r="236" ht="12.75">
      <c r="B236" s="113"/>
    </row>
    <row r="237" ht="12.75">
      <c r="B237" s="113"/>
    </row>
    <row r="238" ht="12.75">
      <c r="B238" s="113"/>
    </row>
    <row r="239" ht="12.75">
      <c r="B239" s="113"/>
    </row>
    <row r="240" ht="12.75">
      <c r="B240" s="113"/>
    </row>
    <row r="241" ht="12.75">
      <c r="B241" s="113"/>
    </row>
    <row r="242" ht="12.75">
      <c r="B242" s="113"/>
    </row>
    <row r="243" ht="12.75">
      <c r="B243" s="113"/>
    </row>
    <row r="244" ht="12.75">
      <c r="B244" s="113"/>
    </row>
    <row r="245" ht="12.75">
      <c r="B245" s="113"/>
    </row>
    <row r="246" ht="12.75">
      <c r="B246" s="113"/>
    </row>
    <row r="247" ht="12.75">
      <c r="B247" s="113"/>
    </row>
    <row r="248" ht="12.75">
      <c r="B248" s="113"/>
    </row>
    <row r="249" ht="12.75">
      <c r="B249" s="113"/>
    </row>
    <row r="250" ht="12.75">
      <c r="B250" s="113"/>
    </row>
    <row r="251" ht="12.75">
      <c r="B251" s="113"/>
    </row>
    <row r="252" ht="12.75">
      <c r="B252" s="113"/>
    </row>
    <row r="253" ht="12.75">
      <c r="B253" s="113"/>
    </row>
    <row r="254" ht="12.75">
      <c r="B254" s="113"/>
    </row>
    <row r="255" ht="12.75">
      <c r="B255" s="113"/>
    </row>
    <row r="256" ht="12.75">
      <c r="B256" s="113"/>
    </row>
    <row r="257" ht="12.75">
      <c r="B257" s="113"/>
    </row>
    <row r="258" ht="12.75">
      <c r="B258" s="113"/>
    </row>
    <row r="259" ht="12.75">
      <c r="B259" s="113"/>
    </row>
    <row r="260" ht="12.75">
      <c r="B260" s="113"/>
    </row>
    <row r="261" ht="12.75">
      <c r="B261" s="113"/>
    </row>
    <row r="262" ht="12.75">
      <c r="B262" s="113"/>
    </row>
    <row r="263" ht="12.75">
      <c r="B263" s="113"/>
    </row>
    <row r="264" ht="12.75">
      <c r="B264" s="113"/>
    </row>
    <row r="265" ht="12.75">
      <c r="B265" s="113"/>
    </row>
    <row r="266" ht="12.75">
      <c r="B266" s="113"/>
    </row>
    <row r="267" ht="12.75">
      <c r="B267" s="113"/>
    </row>
    <row r="268" ht="12.75">
      <c r="B268" s="113"/>
    </row>
    <row r="269" ht="12.75">
      <c r="B269" s="113"/>
    </row>
    <row r="270" ht="12.75">
      <c r="B270" s="113"/>
    </row>
    <row r="271" ht="12.75">
      <c r="B271" s="113"/>
    </row>
    <row r="272" ht="12.75">
      <c r="B272" s="113"/>
    </row>
    <row r="273" ht="12.75">
      <c r="B273" s="113"/>
    </row>
    <row r="274" ht="12.75">
      <c r="B274" s="113"/>
    </row>
    <row r="275" ht="12.75">
      <c r="B275" s="113"/>
    </row>
    <row r="276" ht="12.75">
      <c r="B276" s="113"/>
    </row>
    <row r="277" ht="12.75">
      <c r="B277" s="113"/>
    </row>
    <row r="278" ht="12.75">
      <c r="B278" s="113"/>
    </row>
    <row r="279" ht="12.75">
      <c r="B279" s="113"/>
    </row>
    <row r="280" ht="12.75">
      <c r="B280" s="113"/>
    </row>
    <row r="281" ht="12.75">
      <c r="B281" s="113"/>
    </row>
    <row r="282" ht="12.75">
      <c r="B282" s="113"/>
    </row>
    <row r="283" ht="12.75">
      <c r="B283" s="113"/>
    </row>
    <row r="284" ht="12.75">
      <c r="B284" s="113"/>
    </row>
    <row r="285" ht="12.75">
      <c r="B285" s="113"/>
    </row>
    <row r="286" ht="12.75">
      <c r="B286" s="113"/>
    </row>
    <row r="287" ht="12.75">
      <c r="B287" s="113"/>
    </row>
    <row r="288" ht="12.75">
      <c r="B288" s="113"/>
    </row>
    <row r="289" ht="12.75">
      <c r="B289" s="113"/>
    </row>
    <row r="290" ht="12.75">
      <c r="B290" s="113"/>
    </row>
    <row r="291" ht="12.75">
      <c r="B291" s="113"/>
    </row>
    <row r="292" ht="12.75">
      <c r="B292" s="113"/>
    </row>
    <row r="293" ht="12.75">
      <c r="B293" s="113"/>
    </row>
    <row r="294" ht="12.75">
      <c r="B294" s="113"/>
    </row>
    <row r="295" ht="12.75">
      <c r="B295" s="113"/>
    </row>
    <row r="296" ht="12.75">
      <c r="B296" s="113"/>
    </row>
    <row r="297" ht="12.75">
      <c r="B297" s="113"/>
    </row>
    <row r="298" ht="12.75">
      <c r="B298" s="113"/>
    </row>
    <row r="299" ht="12.75">
      <c r="B299" s="113"/>
    </row>
    <row r="300" ht="12.75">
      <c r="B300" s="113"/>
    </row>
    <row r="301" ht="12.75">
      <c r="B301" s="113"/>
    </row>
    <row r="302" ht="12.75">
      <c r="B302" s="113"/>
    </row>
    <row r="303" ht="12.75">
      <c r="B303" s="113"/>
    </row>
    <row r="304" ht="12.75">
      <c r="B304" s="113"/>
    </row>
    <row r="305" ht="12.75">
      <c r="B305" s="113"/>
    </row>
    <row r="306" ht="12.75">
      <c r="B306" s="113"/>
    </row>
    <row r="307" ht="12.75">
      <c r="B307" s="113"/>
    </row>
    <row r="308" ht="12.75">
      <c r="B308" s="113"/>
    </row>
    <row r="309" ht="12.75">
      <c r="B309" s="113"/>
    </row>
    <row r="310" ht="12.75">
      <c r="B310" s="113"/>
    </row>
    <row r="311" ht="12.75">
      <c r="B311" s="113"/>
    </row>
    <row r="312" ht="12.75">
      <c r="B312" s="113"/>
    </row>
    <row r="313" ht="12.75">
      <c r="B313" s="113"/>
    </row>
    <row r="314" ht="12.75">
      <c r="B314" s="113"/>
    </row>
    <row r="315" ht="12.75">
      <c r="B315" s="113"/>
    </row>
    <row r="316" ht="12.75">
      <c r="B316" s="113"/>
    </row>
    <row r="317" ht="12.75">
      <c r="B317" s="113"/>
    </row>
    <row r="318" ht="12.75">
      <c r="B318" s="113"/>
    </row>
    <row r="319" ht="12.75">
      <c r="B319" s="113"/>
    </row>
    <row r="320" ht="12.75">
      <c r="B320" s="11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 warmteverliezen</dc:title>
  <dc:subject/>
  <dc:creator>Steven Van Lier</dc:creator>
  <cp:keywords/>
  <dc:description/>
  <cp:lastModifiedBy>Steven Van Lier</cp:lastModifiedBy>
  <cp:lastPrinted>2006-01-08T14:16:43Z</cp:lastPrinted>
  <dcterms:created xsi:type="dcterms:W3CDTF">2005-12-30T14:10:20Z</dcterms:created>
  <dcterms:modified xsi:type="dcterms:W3CDTF">2006-09-10T17:42:56Z</dcterms:modified>
  <cp:category/>
  <cp:version/>
  <cp:contentType/>
  <cp:contentStatus/>
</cp:coreProperties>
</file>